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ml.chartshap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835" yWindow="-240" windowWidth="19155" windowHeight="12810" tabRatio="687"/>
  </bookViews>
  <sheets>
    <sheet name="Index" sheetId="13" r:id="rId1"/>
    <sheet name="General Calc's" sheetId="14" r:id="rId2"/>
    <sheet name="Beer Kit" sheetId="39" r:id="rId3"/>
    <sheet name="Extract" sheetId="36" r:id="rId4"/>
    <sheet name="Beer" sheetId="5" r:id="rId5"/>
    <sheet name="Beer Scaling" sheetId="38" r:id="rId6"/>
    <sheet name="Beer Data Sheet" sheetId="4" r:id="rId7"/>
    <sheet name="Gluten-Free" sheetId="9" r:id="rId8"/>
    <sheet name="Primer" sheetId="37" r:id="rId9"/>
    <sheet name="Water" sheetId="16" r:id="rId10"/>
    <sheet name="BJCP" sheetId="15" r:id="rId11"/>
  </sheets>
  <definedNames>
    <definedName name="_71.1_EBU" localSheetId="8">#REF!</definedName>
    <definedName name="_xlnm._FilterDatabase" localSheetId="3" hidden="1">Extract!$H$27:$I$64</definedName>
    <definedName name="_Toc185863040" localSheetId="3">Extract!$H$11</definedName>
    <definedName name="_Toc269412869" localSheetId="3">#REF!</definedName>
    <definedName name="OLE_LINK1" localSheetId="1">'General Calc''s'!#REF!</definedName>
    <definedName name="_xlnm.Print_Area" localSheetId="4">Beer!$A$2:$BJ$108</definedName>
    <definedName name="_xlnm.Print_Area" localSheetId="6">'Beer Data Sheet'!$A$1:$AS$180</definedName>
    <definedName name="_xlnm.Print_Area" localSheetId="2">'Beer Kit'!$A$1:$AC$113</definedName>
    <definedName name="_xlnm.Print_Area" localSheetId="5">'Beer Scaling'!$A$1:$AZ$265</definedName>
    <definedName name="_xlnm.Print_Area" localSheetId="10">BJCP!$A$1:$P$145</definedName>
    <definedName name="_xlnm.Print_Area" localSheetId="3">Extract!$A$1:$BM$117</definedName>
    <definedName name="_xlnm.Print_Area" localSheetId="1">'General Calc''s'!$A$1:$S$251</definedName>
    <definedName name="_xlnm.Print_Area" localSheetId="7">'Gluten-Free'!$A$1:$AI$104</definedName>
    <definedName name="_xlnm.Print_Area" localSheetId="0">Index!$A$1:$F$75</definedName>
    <definedName name="_xlnm.Print_Area" localSheetId="8">Primer!$A$1:$S$88</definedName>
    <definedName name="_xlnm.Print_Area" localSheetId="9">Water!$A$1:$S$55</definedName>
  </definedNames>
  <calcPr calcId="124519"/>
</workbook>
</file>

<file path=xl/calcChain.xml><?xml version="1.0" encoding="utf-8"?>
<calcChain xmlns="http://schemas.openxmlformats.org/spreadsheetml/2006/main">
  <c r="P67" i="37"/>
  <c r="AP12" i="4"/>
  <c r="AP13"/>
  <c r="AQ132"/>
  <c r="AQ133"/>
  <c r="AP131"/>
  <c r="AP132"/>
  <c r="AP133"/>
  <c r="AQ128"/>
  <c r="AQ129"/>
  <c r="AQ130"/>
  <c r="AQ131"/>
  <c r="AP128"/>
  <c r="AP129"/>
  <c r="AP130"/>
  <c r="AN40"/>
  <c r="AN41"/>
  <c r="AN42"/>
  <c r="AN29"/>
  <c r="AN30"/>
  <c r="AN31"/>
  <c r="AN32"/>
  <c r="AN33"/>
  <c r="AN24"/>
  <c r="AN12"/>
  <c r="AP29"/>
  <c r="AQ29"/>
  <c r="C48" i="9"/>
  <c r="C85" i="36"/>
  <c r="E132" i="38"/>
  <c r="H175" i="14"/>
  <c r="H176"/>
  <c r="H174"/>
  <c r="F22" i="38" l="1"/>
  <c r="B58" i="37"/>
  <c r="E58"/>
  <c r="P38" i="36"/>
  <c r="K22" i="14" l="1"/>
  <c r="BC65" i="36"/>
  <c r="R22" i="39"/>
  <c r="D14"/>
  <c r="E35"/>
  <c r="C18"/>
  <c r="C20"/>
  <c r="D19"/>
  <c r="D17"/>
  <c r="B18"/>
  <c r="B20"/>
  <c r="V38" l="1"/>
  <c r="P38" s="1"/>
  <c r="AH10"/>
  <c r="D8"/>
  <c r="D9"/>
  <c r="D29"/>
  <c r="E29" s="1"/>
  <c r="E16"/>
  <c r="AG13" s="1"/>
  <c r="D16"/>
  <c r="AD11" s="1"/>
  <c r="D15"/>
  <c r="E15" s="1"/>
  <c r="AH14"/>
  <c r="AI14" s="1"/>
  <c r="D13"/>
  <c r="E13" s="1"/>
  <c r="AH13" s="1"/>
  <c r="D12"/>
  <c r="E12" s="1"/>
  <c r="D11"/>
  <c r="AE11" s="1"/>
  <c r="AE10"/>
  <c r="T70"/>
  <c r="V70" s="1"/>
  <c r="E70"/>
  <c r="G70" s="1"/>
  <c r="T63"/>
  <c r="P64" s="1"/>
  <c r="P63"/>
  <c r="P65" s="1"/>
  <c r="D63"/>
  <c r="AA61"/>
  <c r="Z61"/>
  <c r="M61"/>
  <c r="K61"/>
  <c r="I61"/>
  <c r="G61"/>
  <c r="E61"/>
  <c r="S60"/>
  <c r="P60"/>
  <c r="M60"/>
  <c r="K60"/>
  <c r="I60"/>
  <c r="G60"/>
  <c r="E60"/>
  <c r="AA59"/>
  <c r="Z59"/>
  <c r="M59"/>
  <c r="AA57"/>
  <c r="Z57"/>
  <c r="D57"/>
  <c r="AA55"/>
  <c r="Z55"/>
  <c r="B54"/>
  <c r="AA53"/>
  <c r="Z53"/>
  <c r="E53"/>
  <c r="E52"/>
  <c r="AA51"/>
  <c r="Z51"/>
  <c r="E51"/>
  <c r="E50"/>
  <c r="AA49"/>
  <c r="Z49"/>
  <c r="E49"/>
  <c r="E48"/>
  <c r="AA47"/>
  <c r="Z47"/>
  <c r="E47"/>
  <c r="E46"/>
  <c r="AA45"/>
  <c r="Z45"/>
  <c r="AD44"/>
  <c r="AA43"/>
  <c r="Z43"/>
  <c r="AA41"/>
  <c r="Z41"/>
  <c r="AA39"/>
  <c r="Z39"/>
  <c r="AA37"/>
  <c r="Z37"/>
  <c r="V37"/>
  <c r="B40"/>
  <c r="AC32"/>
  <c r="D30"/>
  <c r="E30" s="1"/>
  <c r="B29"/>
  <c r="C22"/>
  <c r="AC21"/>
  <c r="D21"/>
  <c r="AA20"/>
  <c r="AB16"/>
  <c r="AB15"/>
  <c r="AB14"/>
  <c r="AC14" s="1"/>
  <c r="AD13"/>
  <c r="AB13"/>
  <c r="AA13"/>
  <c r="AH12"/>
  <c r="AB12"/>
  <c r="AA12"/>
  <c r="AB11"/>
  <c r="AA11"/>
  <c r="AD10"/>
  <c r="AB10"/>
  <c r="AA10"/>
  <c r="AC12" l="1"/>
  <c r="E21"/>
  <c r="R23"/>
  <c r="D18"/>
  <c r="E9"/>
  <c r="D20"/>
  <c r="AD12"/>
  <c r="AE12"/>
  <c r="E8"/>
  <c r="AH11"/>
  <c r="AC33"/>
  <c r="C26" s="1"/>
  <c r="AC10"/>
  <c r="E19"/>
  <c r="AE14"/>
  <c r="AF14" s="1"/>
  <c r="V39"/>
  <c r="AH15"/>
  <c r="AE13"/>
  <c r="AF13" s="1"/>
  <c r="AE15"/>
  <c r="AC13"/>
  <c r="AC11"/>
  <c r="AI13"/>
  <c r="AG10"/>
  <c r="AI10" s="1"/>
  <c r="AG12"/>
  <c r="AI12" s="1"/>
  <c r="W38"/>
  <c r="AF11"/>
  <c r="AC22"/>
  <c r="AF10"/>
  <c r="E34"/>
  <c r="AE16"/>
  <c r="AF32"/>
  <c r="C34"/>
  <c r="D34"/>
  <c r="AG11"/>
  <c r="AF21"/>
  <c r="F29"/>
  <c r="AF12" l="1"/>
  <c r="AF20" s="1"/>
  <c r="AF31" s="1"/>
  <c r="E18"/>
  <c r="R24"/>
  <c r="AI21"/>
  <c r="AH16"/>
  <c r="AI22" s="1"/>
  <c r="E31" s="1"/>
  <c r="AI32"/>
  <c r="AI33"/>
  <c r="E26" s="1"/>
  <c r="D22"/>
  <c r="E20"/>
  <c r="AF33"/>
  <c r="D26" s="1"/>
  <c r="V35" s="1"/>
  <c r="P37" s="1"/>
  <c r="AI11"/>
  <c r="AI20" s="1"/>
  <c r="AI31" s="1"/>
  <c r="AC20"/>
  <c r="AC31" s="1"/>
  <c r="AC34" s="1"/>
  <c r="C27" s="1"/>
  <c r="C28" s="1"/>
  <c r="AF22"/>
  <c r="D31" s="1"/>
  <c r="C31"/>
  <c r="C23" s="1"/>
  <c r="C24" s="1"/>
  <c r="D23" l="1"/>
  <c r="D24" s="1"/>
  <c r="AI34"/>
  <c r="E27" s="1"/>
  <c r="E28" s="1"/>
  <c r="AF34"/>
  <c r="D27" s="1"/>
  <c r="V36" s="1"/>
  <c r="V40" s="1"/>
  <c r="AC23"/>
  <c r="C32" s="1"/>
  <c r="C33" s="1"/>
  <c r="C40" s="1"/>
  <c r="AI23"/>
  <c r="E32" s="1"/>
  <c r="AE41" s="1"/>
  <c r="E37" s="1"/>
  <c r="E39" s="1"/>
  <c r="AF23"/>
  <c r="D32" s="1"/>
  <c r="D33" s="1"/>
  <c r="D40" s="1"/>
  <c r="AC40" l="1"/>
  <c r="C36" s="1"/>
  <c r="D28"/>
  <c r="F16"/>
  <c r="AC41"/>
  <c r="C37" s="1"/>
  <c r="C39" s="1"/>
  <c r="E33"/>
  <c r="E40" s="1"/>
  <c r="AE40"/>
  <c r="E36" s="1"/>
  <c r="E38" s="1"/>
  <c r="AD40"/>
  <c r="D36" s="1"/>
  <c r="AD41"/>
  <c r="D37" s="1"/>
  <c r="D39" s="1"/>
  <c r="C38" l="1"/>
  <c r="D38"/>
  <c r="H95" i="9"/>
  <c r="I211" i="38" l="1"/>
  <c r="O211"/>
  <c r="B206"/>
  <c r="B164"/>
  <c r="B131"/>
  <c r="B89"/>
  <c r="O60" i="9"/>
  <c r="AB66" i="36"/>
  <c r="AC66"/>
  <c r="AD66"/>
  <c r="AH66" s="1"/>
  <c r="AB67"/>
  <c r="AC67"/>
  <c r="AD67"/>
  <c r="AH67" s="1"/>
  <c r="AB68"/>
  <c r="AC68"/>
  <c r="AD68"/>
  <c r="AH68" s="1"/>
  <c r="AB69"/>
  <c r="AC69"/>
  <c r="AD69"/>
  <c r="AH69" s="1"/>
  <c r="AC70"/>
  <c r="AD70"/>
  <c r="AH70" s="1"/>
  <c r="AB71"/>
  <c r="AC71"/>
  <c r="AD71"/>
  <c r="AH71" s="1"/>
  <c r="AB72"/>
  <c r="AC72"/>
  <c r="AD72"/>
  <c r="AH72" s="1"/>
  <c r="AB73"/>
  <c r="AC73"/>
  <c r="AF73" s="1"/>
  <c r="AG73" s="1"/>
  <c r="AD73"/>
  <c r="AH73" s="1"/>
  <c r="AB74"/>
  <c r="AC74"/>
  <c r="AF74" s="1"/>
  <c r="AG74" s="1"/>
  <c r="AD74"/>
  <c r="AH74" s="1"/>
  <c r="AB75"/>
  <c r="AC75"/>
  <c r="AD75"/>
  <c r="AH75" s="1"/>
  <c r="AB76"/>
  <c r="AC76"/>
  <c r="AD76"/>
  <c r="AH76" s="1"/>
  <c r="AB77"/>
  <c r="AC77"/>
  <c r="AD77"/>
  <c r="AH77" s="1"/>
  <c r="AB78"/>
  <c r="AC78"/>
  <c r="AD78"/>
  <c r="AH78" s="1"/>
  <c r="AC62"/>
  <c r="AC61"/>
  <c r="AC60"/>
  <c r="AC59"/>
  <c r="AC58"/>
  <c r="AC57"/>
  <c r="AC56"/>
  <c r="AC55"/>
  <c r="AC54"/>
  <c r="AC53"/>
  <c r="AB49"/>
  <c r="AF49" s="1"/>
  <c r="AC49"/>
  <c r="AD49"/>
  <c r="AH49" s="1"/>
  <c r="AE49"/>
  <c r="AI49" s="1"/>
  <c r="AE45"/>
  <c r="AI45" s="1"/>
  <c r="AD45"/>
  <c r="AH45" s="1"/>
  <c r="AC45"/>
  <c r="AB45"/>
  <c r="AF45" s="1"/>
  <c r="AE44"/>
  <c r="AI44" s="1"/>
  <c r="AD44"/>
  <c r="AH44" s="1"/>
  <c r="AC44"/>
  <c r="AB44"/>
  <c r="AF44" s="1"/>
  <c r="AE43"/>
  <c r="AI43" s="1"/>
  <c r="AD43"/>
  <c r="AH43" s="1"/>
  <c r="AC43"/>
  <c r="AB43"/>
  <c r="AF43" s="1"/>
  <c r="AB35"/>
  <c r="AF35" s="1"/>
  <c r="AC35"/>
  <c r="AB36"/>
  <c r="AF36" s="1"/>
  <c r="AC36"/>
  <c r="AB37"/>
  <c r="AF37" s="1"/>
  <c r="AC37"/>
  <c r="AB38"/>
  <c r="AF38" s="1"/>
  <c r="AC38"/>
  <c r="AB39"/>
  <c r="AF39" s="1"/>
  <c r="AC39"/>
  <c r="AD35"/>
  <c r="AH35" s="1"/>
  <c r="AD36"/>
  <c r="AH36" s="1"/>
  <c r="AD37"/>
  <c r="AH37" s="1"/>
  <c r="AD38"/>
  <c r="AH38" s="1"/>
  <c r="AD39"/>
  <c r="AH39" s="1"/>
  <c r="AD26"/>
  <c r="AH26" s="1"/>
  <c r="AD27"/>
  <c r="AH27" s="1"/>
  <c r="AD28"/>
  <c r="AD29"/>
  <c r="AD30"/>
  <c r="AH30" s="1"/>
  <c r="AD31"/>
  <c r="AH31" s="1"/>
  <c r="AH28"/>
  <c r="AH29"/>
  <c r="B67"/>
  <c r="B68"/>
  <c r="B69"/>
  <c r="B70"/>
  <c r="B71"/>
  <c r="B72"/>
  <c r="B73"/>
  <c r="B74"/>
  <c r="B75"/>
  <c r="B76"/>
  <c r="B77"/>
  <c r="B54"/>
  <c r="B55"/>
  <c r="B56"/>
  <c r="B57"/>
  <c r="B58"/>
  <c r="B59"/>
  <c r="B60"/>
  <c r="B61"/>
  <c r="B36"/>
  <c r="B37"/>
  <c r="B38"/>
  <c r="B39"/>
  <c r="B53"/>
  <c r="B62"/>
  <c r="B42" i="38"/>
  <c r="B43"/>
  <c r="B44"/>
  <c r="B45"/>
  <c r="B36"/>
  <c r="B37"/>
  <c r="B38"/>
  <c r="B39"/>
  <c r="B40"/>
  <c r="B33"/>
  <c r="B34"/>
  <c r="B28"/>
  <c r="B29"/>
  <c r="B30"/>
  <c r="B31"/>
  <c r="B27"/>
  <c r="B32"/>
  <c r="B35"/>
  <c r="G27"/>
  <c r="H27"/>
  <c r="G28"/>
  <c r="H28"/>
  <c r="G29"/>
  <c r="H29"/>
  <c r="G30"/>
  <c r="H30"/>
  <c r="G31"/>
  <c r="H31"/>
  <c r="G32"/>
  <c r="H32"/>
  <c r="G33"/>
  <c r="H33"/>
  <c r="G34"/>
  <c r="H34"/>
  <c r="G35"/>
  <c r="H35"/>
  <c r="G36"/>
  <c r="H36"/>
  <c r="G37"/>
  <c r="H37"/>
  <c r="G38"/>
  <c r="H38"/>
  <c r="G39"/>
  <c r="H39"/>
  <c r="G40"/>
  <c r="H40"/>
  <c r="G41"/>
  <c r="H41"/>
  <c r="G42"/>
  <c r="H42"/>
  <c r="G43"/>
  <c r="H43"/>
  <c r="G44"/>
  <c r="H44"/>
  <c r="G45"/>
  <c r="H45"/>
  <c r="G46"/>
  <c r="H46"/>
  <c r="G47"/>
  <c r="H47"/>
  <c r="G48"/>
  <c r="H48"/>
  <c r="D31"/>
  <c r="E31" s="1"/>
  <c r="D32"/>
  <c r="D33"/>
  <c r="D34"/>
  <c r="E34" s="1"/>
  <c r="D35"/>
  <c r="E35" s="1"/>
  <c r="D36"/>
  <c r="E36" s="1"/>
  <c r="D37"/>
  <c r="E37" s="1"/>
  <c r="D38"/>
  <c r="E38" s="1"/>
  <c r="D39"/>
  <c r="E39" s="1"/>
  <c r="D40"/>
  <c r="D41"/>
  <c r="D42"/>
  <c r="E42" s="1"/>
  <c r="AA46" i="9"/>
  <c r="AB46"/>
  <c r="AC46"/>
  <c r="AG46"/>
  <c r="AH46"/>
  <c r="AI46"/>
  <c r="AA47"/>
  <c r="AB47"/>
  <c r="AC47"/>
  <c r="AG47"/>
  <c r="AH47"/>
  <c r="AI47"/>
  <c r="AA48"/>
  <c r="AB48"/>
  <c r="AC48"/>
  <c r="AG48"/>
  <c r="AH48"/>
  <c r="AI48"/>
  <c r="AA49"/>
  <c r="AB49"/>
  <c r="AC49"/>
  <c r="AG49"/>
  <c r="AH49"/>
  <c r="AI49"/>
  <c r="AA50"/>
  <c r="AB50"/>
  <c r="AC50"/>
  <c r="AG50"/>
  <c r="AH50"/>
  <c r="AI50"/>
  <c r="AA51"/>
  <c r="AB51"/>
  <c r="AC51"/>
  <c r="AG51"/>
  <c r="AH51"/>
  <c r="AI51"/>
  <c r="AA52"/>
  <c r="AB52"/>
  <c r="AC52"/>
  <c r="AG52"/>
  <c r="AH52"/>
  <c r="AI52"/>
  <c r="AA53"/>
  <c r="AB53"/>
  <c r="AC53"/>
  <c r="AG53"/>
  <c r="AH53"/>
  <c r="AI53"/>
  <c r="AA28"/>
  <c r="AB28"/>
  <c r="AC28"/>
  <c r="AG28"/>
  <c r="AH28"/>
  <c r="AI28"/>
  <c r="AA29"/>
  <c r="AB29"/>
  <c r="AC29"/>
  <c r="AG29"/>
  <c r="AH29"/>
  <c r="AI29"/>
  <c r="AA30"/>
  <c r="AB30"/>
  <c r="AC30"/>
  <c r="AG30"/>
  <c r="AH30"/>
  <c r="AI30"/>
  <c r="AA31"/>
  <c r="AB31"/>
  <c r="AC31"/>
  <c r="AG31"/>
  <c r="AH31"/>
  <c r="AI31"/>
  <c r="AA32"/>
  <c r="AB32"/>
  <c r="AC32"/>
  <c r="AG32"/>
  <c r="AH32"/>
  <c r="AI32"/>
  <c r="AA33"/>
  <c r="AB33"/>
  <c r="AC33"/>
  <c r="AG33"/>
  <c r="AH33"/>
  <c r="AI33"/>
  <c r="AA34"/>
  <c r="AB34"/>
  <c r="AC34"/>
  <c r="AG34"/>
  <c r="AH34"/>
  <c r="AI34"/>
  <c r="AA35"/>
  <c r="AB35"/>
  <c r="AC35"/>
  <c r="AG35"/>
  <c r="AH35"/>
  <c r="AI35"/>
  <c r="AA36"/>
  <c r="AB36"/>
  <c r="AC36"/>
  <c r="AG36"/>
  <c r="AH36"/>
  <c r="AI36"/>
  <c r="AA37"/>
  <c r="AB37"/>
  <c r="AC37"/>
  <c r="AG37"/>
  <c r="AH37"/>
  <c r="AI37"/>
  <c r="AA38"/>
  <c r="AB38"/>
  <c r="AC38"/>
  <c r="AG38"/>
  <c r="AH38"/>
  <c r="AI38"/>
  <c r="AA39"/>
  <c r="AB39"/>
  <c r="AC39"/>
  <c r="AG39"/>
  <c r="AH39"/>
  <c r="AI39"/>
  <c r="AA40"/>
  <c r="AB40"/>
  <c r="AC40"/>
  <c r="AG40"/>
  <c r="AH40"/>
  <c r="AI40"/>
  <c r="AA41"/>
  <c r="AB41"/>
  <c r="AC41"/>
  <c r="AG41"/>
  <c r="AH41"/>
  <c r="AI41"/>
  <c r="AA42"/>
  <c r="AB42"/>
  <c r="AC42"/>
  <c r="AG42"/>
  <c r="AH42"/>
  <c r="AI42"/>
  <c r="AA43"/>
  <c r="AB43"/>
  <c r="AC43"/>
  <c r="AG43"/>
  <c r="AH43"/>
  <c r="AI43"/>
  <c r="AA44"/>
  <c r="AB44"/>
  <c r="AC44"/>
  <c r="AG44"/>
  <c r="AH44"/>
  <c r="AI44"/>
  <c r="AA45"/>
  <c r="AB45"/>
  <c r="AC45"/>
  <c r="AG45"/>
  <c r="AH45"/>
  <c r="AI45"/>
  <c r="S36"/>
  <c r="W36" s="1"/>
  <c r="T36"/>
  <c r="U36"/>
  <c r="Y36" s="1"/>
  <c r="S37"/>
  <c r="W37" s="1"/>
  <c r="T37"/>
  <c r="U37"/>
  <c r="Y37" s="1"/>
  <c r="S38"/>
  <c r="W38" s="1"/>
  <c r="T38"/>
  <c r="U38"/>
  <c r="Y38" s="1"/>
  <c r="T39"/>
  <c r="U39"/>
  <c r="Y39" s="1"/>
  <c r="S40"/>
  <c r="W40" s="1"/>
  <c r="T40"/>
  <c r="U40"/>
  <c r="Y40" s="1"/>
  <c r="U25"/>
  <c r="Y25" s="1"/>
  <c r="U26"/>
  <c r="Y26" s="1"/>
  <c r="U27"/>
  <c r="Y27" s="1"/>
  <c r="U28"/>
  <c r="Y28" s="1"/>
  <c r="U29"/>
  <c r="Y29" s="1"/>
  <c r="U30"/>
  <c r="Y30" s="1"/>
  <c r="U31"/>
  <c r="Y31" s="1"/>
  <c r="U32"/>
  <c r="Y32" s="1"/>
  <c r="S32"/>
  <c r="W32" s="1"/>
  <c r="X32" s="1"/>
  <c r="S31"/>
  <c r="W31" s="1"/>
  <c r="X31" s="1"/>
  <c r="S30"/>
  <c r="W30" s="1"/>
  <c r="X30" s="1"/>
  <c r="S29"/>
  <c r="W29" s="1"/>
  <c r="X29" s="1"/>
  <c r="S28"/>
  <c r="W28" s="1"/>
  <c r="X28" s="1"/>
  <c r="S27"/>
  <c r="W27" s="1"/>
  <c r="X27" s="1"/>
  <c r="P185" i="38"/>
  <c r="O185"/>
  <c r="AH130"/>
  <c r="AF77" i="36" l="1"/>
  <c r="AG77" s="1"/>
  <c r="AF72"/>
  <c r="AG72" s="1"/>
  <c r="AF75"/>
  <c r="AG75" s="1"/>
  <c r="AF69"/>
  <c r="AG69" s="1"/>
  <c r="AE76"/>
  <c r="AF66"/>
  <c r="AG66" s="1"/>
  <c r="AE72"/>
  <c r="AG38"/>
  <c r="AE69"/>
  <c r="AG36"/>
  <c r="X38" i="9"/>
  <c r="AG43" i="36"/>
  <c r="AG44"/>
  <c r="AF76"/>
  <c r="AG76" s="1"/>
  <c r="AE73"/>
  <c r="AF67"/>
  <c r="AG67" s="1"/>
  <c r="AF71"/>
  <c r="AG71" s="1"/>
  <c r="AF78"/>
  <c r="AG78" s="1"/>
  <c r="AE77"/>
  <c r="AF68"/>
  <c r="AG68" s="1"/>
  <c r="AG45"/>
  <c r="AE74"/>
  <c r="AE66"/>
  <c r="AE78"/>
  <c r="AE68"/>
  <c r="AG39"/>
  <c r="AG37"/>
  <c r="AG35"/>
  <c r="AG49"/>
  <c r="X40" i="9"/>
  <c r="X37"/>
  <c r="X36"/>
  <c r="AE75" i="36"/>
  <c r="AE71"/>
  <c r="AE67"/>
  <c r="G178" i="38" l="1"/>
  <c r="H178"/>
  <c r="G179"/>
  <c r="H179"/>
  <c r="G180"/>
  <c r="H180"/>
  <c r="G181"/>
  <c r="H181"/>
  <c r="G182"/>
  <c r="H182"/>
  <c r="G183"/>
  <c r="H183"/>
  <c r="G184"/>
  <c r="H184"/>
  <c r="G185"/>
  <c r="H185"/>
  <c r="G186"/>
  <c r="H186"/>
  <c r="G187"/>
  <c r="H187"/>
  <c r="G188"/>
  <c r="H188"/>
  <c r="G189"/>
  <c r="H189"/>
  <c r="G190"/>
  <c r="H190"/>
  <c r="G191"/>
  <c r="H191"/>
  <c r="G192"/>
  <c r="H192"/>
  <c r="G193"/>
  <c r="H193"/>
  <c r="G194"/>
  <c r="H194"/>
  <c r="G195"/>
  <c r="H195"/>
  <c r="G196"/>
  <c r="H196"/>
  <c r="G197"/>
  <c r="H197"/>
  <c r="G198"/>
  <c r="H198"/>
  <c r="G199"/>
  <c r="H199"/>
  <c r="AU195"/>
  <c r="AX195" s="1"/>
  <c r="AU196"/>
  <c r="AX196" s="1"/>
  <c r="AU197"/>
  <c r="AX197" s="1"/>
  <c r="AU198"/>
  <c r="AX198" s="1"/>
  <c r="AU199"/>
  <c r="AX199" s="1"/>
  <c r="AU186"/>
  <c r="AX186" s="1"/>
  <c r="AU187"/>
  <c r="AX187" s="1"/>
  <c r="AU188"/>
  <c r="AX188" s="1"/>
  <c r="AU189"/>
  <c r="AX189" s="1"/>
  <c r="AU190"/>
  <c r="AX190" s="1"/>
  <c r="AV201"/>
  <c r="AV202"/>
  <c r="AV203"/>
  <c r="AV204"/>
  <c r="AF120"/>
  <c r="AI120" s="1"/>
  <c r="AF121"/>
  <c r="AI121" s="1"/>
  <c r="AF122"/>
  <c r="AI122" s="1"/>
  <c r="AF123"/>
  <c r="AI123" s="1"/>
  <c r="AF124"/>
  <c r="AI124" s="1"/>
  <c r="AF125"/>
  <c r="AI125" s="1"/>
  <c r="AF126"/>
  <c r="AI126" s="1"/>
  <c r="AF127"/>
  <c r="AI127" s="1"/>
  <c r="AF128"/>
  <c r="AI128" s="1"/>
  <c r="AF129"/>
  <c r="AI129" s="1"/>
  <c r="AF130"/>
  <c r="AH88"/>
  <c r="AC31" i="36"/>
  <c r="AB31"/>
  <c r="AF31" s="1"/>
  <c r="AC30"/>
  <c r="AB30"/>
  <c r="AF30" s="1"/>
  <c r="AG30" s="1"/>
  <c r="AC29"/>
  <c r="AB29"/>
  <c r="AF29" s="1"/>
  <c r="AC28"/>
  <c r="AB28"/>
  <c r="AF28" s="1"/>
  <c r="AG28" s="1"/>
  <c r="AC27"/>
  <c r="AB27"/>
  <c r="AF27" s="1"/>
  <c r="AC26"/>
  <c r="AB26"/>
  <c r="AF26" s="1"/>
  <c r="AG26" s="1"/>
  <c r="AG27" l="1"/>
  <c r="AG31"/>
  <c r="AG29"/>
  <c r="AS196" i="38"/>
  <c r="AO196"/>
  <c r="AG196"/>
  <c r="AC196"/>
  <c r="AT196"/>
  <c r="AP196"/>
  <c r="AH196"/>
  <c r="AD196"/>
  <c r="AQ196"/>
  <c r="AE196"/>
  <c r="AR196"/>
  <c r="AF196"/>
  <c r="AS188"/>
  <c r="AO188"/>
  <c r="AG188"/>
  <c r="AC188"/>
  <c r="AT188"/>
  <c r="AP188"/>
  <c r="AH188"/>
  <c r="AD188"/>
  <c r="AQ188"/>
  <c r="AE188"/>
  <c r="AR188"/>
  <c r="AF188"/>
  <c r="AQ180"/>
  <c r="AE180"/>
  <c r="AR180"/>
  <c r="AF180"/>
  <c r="AS180"/>
  <c r="AO180"/>
  <c r="AG180"/>
  <c r="AC180"/>
  <c r="AT180"/>
  <c r="AP180"/>
  <c r="AH180"/>
  <c r="AD180"/>
  <c r="AS198"/>
  <c r="AO198"/>
  <c r="AG198"/>
  <c r="AC198"/>
  <c r="AT198"/>
  <c r="AP198"/>
  <c r="AH198"/>
  <c r="AD198"/>
  <c r="AQ198"/>
  <c r="AE198"/>
  <c r="AR198"/>
  <c r="AF198"/>
  <c r="AS192"/>
  <c r="AO192"/>
  <c r="AG192"/>
  <c r="AC192"/>
  <c r="AT192"/>
  <c r="AP192"/>
  <c r="AH192"/>
  <c r="AD192"/>
  <c r="AQ192"/>
  <c r="AE192"/>
  <c r="AR192"/>
  <c r="AF192"/>
  <c r="AS186"/>
  <c r="AO186"/>
  <c r="AG186"/>
  <c r="AC186"/>
  <c r="AT186"/>
  <c r="AP186"/>
  <c r="AH186"/>
  <c r="AD186"/>
  <c r="AQ186"/>
  <c r="AE186"/>
  <c r="AR186"/>
  <c r="AF186"/>
  <c r="AQ182"/>
  <c r="AE182"/>
  <c r="AR182"/>
  <c r="AF182"/>
  <c r="AS182"/>
  <c r="AO182"/>
  <c r="AG182"/>
  <c r="AC182"/>
  <c r="AT182"/>
  <c r="AP182"/>
  <c r="AH182"/>
  <c r="AD182"/>
  <c r="AQ199"/>
  <c r="AE199"/>
  <c r="AR199"/>
  <c r="AF199"/>
  <c r="AS199"/>
  <c r="AO199"/>
  <c r="AG199"/>
  <c r="AC199"/>
  <c r="AT199"/>
  <c r="AP199"/>
  <c r="AH199"/>
  <c r="AD199"/>
  <c r="AQ197"/>
  <c r="AE197"/>
  <c r="AR197"/>
  <c r="AF197"/>
  <c r="AS197"/>
  <c r="AO197"/>
  <c r="AG197"/>
  <c r="AC197"/>
  <c r="AT197"/>
  <c r="AP197"/>
  <c r="AH197"/>
  <c r="AD197"/>
  <c r="AQ195"/>
  <c r="AE195"/>
  <c r="AR195"/>
  <c r="AF195"/>
  <c r="AS195"/>
  <c r="AO195"/>
  <c r="AG195"/>
  <c r="AC195"/>
  <c r="AT195"/>
  <c r="AP195"/>
  <c r="AH195"/>
  <c r="AD195"/>
  <c r="AQ193"/>
  <c r="AE193"/>
  <c r="AR193"/>
  <c r="AF193"/>
  <c r="AS193"/>
  <c r="AO193"/>
  <c r="AG193"/>
  <c r="AC193"/>
  <c r="AT193"/>
  <c r="AP193"/>
  <c r="AH193"/>
  <c r="AD193"/>
  <c r="AQ191"/>
  <c r="AE191"/>
  <c r="AR191"/>
  <c r="AF191"/>
  <c r="AS191"/>
  <c r="AO191"/>
  <c r="AG191"/>
  <c r="AC191"/>
  <c r="AT191"/>
  <c r="AP191"/>
  <c r="AH191"/>
  <c r="AD191"/>
  <c r="AQ189"/>
  <c r="AE189"/>
  <c r="AR189"/>
  <c r="AF189"/>
  <c r="AS189"/>
  <c r="AO189"/>
  <c r="AG189"/>
  <c r="AC189"/>
  <c r="AT189"/>
  <c r="AP189"/>
  <c r="AH189"/>
  <c r="AD189"/>
  <c r="AQ187"/>
  <c r="AE187"/>
  <c r="AR187"/>
  <c r="AF187"/>
  <c r="AS187"/>
  <c r="AO187"/>
  <c r="AG187"/>
  <c r="AC187"/>
  <c r="AT187"/>
  <c r="AP187"/>
  <c r="AH187"/>
  <c r="AD187"/>
  <c r="AQ185"/>
  <c r="AG185"/>
  <c r="AC185"/>
  <c r="AR185"/>
  <c r="AH185"/>
  <c r="AD185"/>
  <c r="AS185"/>
  <c r="AO185"/>
  <c r="AE185"/>
  <c r="AT185"/>
  <c r="AP185"/>
  <c r="AF185"/>
  <c r="AJ185"/>
  <c r="AI185"/>
  <c r="AS183"/>
  <c r="AO183"/>
  <c r="AG183"/>
  <c r="AC183"/>
  <c r="AT183"/>
  <c r="AP183"/>
  <c r="AH183"/>
  <c r="AD183"/>
  <c r="AQ183"/>
  <c r="AE183"/>
  <c r="AR183"/>
  <c r="AF183"/>
  <c r="AS181"/>
  <c r="AO181"/>
  <c r="AG181"/>
  <c r="AC181"/>
  <c r="AT181"/>
  <c r="AP181"/>
  <c r="AH181"/>
  <c r="AD181"/>
  <c r="AQ181"/>
  <c r="AE181"/>
  <c r="AR181"/>
  <c r="AF181"/>
  <c r="AS179"/>
  <c r="AO179"/>
  <c r="AG179"/>
  <c r="AC179"/>
  <c r="AT179"/>
  <c r="AP179"/>
  <c r="AH179"/>
  <c r="AD179"/>
  <c r="AQ179"/>
  <c r="AE179"/>
  <c r="AR179"/>
  <c r="AF179"/>
  <c r="AS194"/>
  <c r="AO194"/>
  <c r="AG194"/>
  <c r="AC194"/>
  <c r="AT194"/>
  <c r="AP194"/>
  <c r="AH194"/>
  <c r="AD194"/>
  <c r="AQ194"/>
  <c r="AE194"/>
  <c r="AR194"/>
  <c r="AF194"/>
  <c r="AS190"/>
  <c r="AO190"/>
  <c r="AG190"/>
  <c r="AC190"/>
  <c r="AT190"/>
  <c r="AP190"/>
  <c r="AH190"/>
  <c r="AD190"/>
  <c r="AQ190"/>
  <c r="AE190"/>
  <c r="AR190"/>
  <c r="AF190"/>
  <c r="AQ184"/>
  <c r="AE184"/>
  <c r="AR184"/>
  <c r="AF184"/>
  <c r="AS184"/>
  <c r="AO184"/>
  <c r="AG184"/>
  <c r="AC184"/>
  <c r="AT184"/>
  <c r="AP184"/>
  <c r="AH184"/>
  <c r="AD184"/>
  <c r="AQ178"/>
  <c r="AE178"/>
  <c r="AR178"/>
  <c r="AF178"/>
  <c r="AS178"/>
  <c r="AO178"/>
  <c r="AG178"/>
  <c r="AC178"/>
  <c r="AT178"/>
  <c r="AP178"/>
  <c r="AH178"/>
  <c r="AD178"/>
  <c r="AU200"/>
  <c r="AX200" s="1"/>
  <c r="AU201"/>
  <c r="AX201" s="1"/>
  <c r="AY201" s="1"/>
  <c r="AU202"/>
  <c r="AX202" s="1"/>
  <c r="AY202" s="1"/>
  <c r="AU203"/>
  <c r="AX203" s="1"/>
  <c r="AY203" s="1"/>
  <c r="AU204"/>
  <c r="AX204" s="1"/>
  <c r="AY204" s="1"/>
  <c r="AU185"/>
  <c r="AE157"/>
  <c r="AE158"/>
  <c r="AE159"/>
  <c r="AE160"/>
  <c r="AE156"/>
  <c r="AE151"/>
  <c r="AE152"/>
  <c r="AE153"/>
  <c r="AE154"/>
  <c r="AE155"/>
  <c r="AF27"/>
  <c r="AF28"/>
  <c r="AI28" s="1"/>
  <c r="AF29"/>
  <c r="AF30"/>
  <c r="AF31"/>
  <c r="AI31" s="1"/>
  <c r="AC30"/>
  <c r="AC34"/>
  <c r="AC38"/>
  <c r="AC42"/>
  <c r="AC46"/>
  <c r="AF69"/>
  <c r="AF70"/>
  <c r="AF71"/>
  <c r="AF72"/>
  <c r="AF73"/>
  <c r="AF112"/>
  <c r="AI112" s="1"/>
  <c r="AF113"/>
  <c r="AI113" s="1"/>
  <c r="AF114"/>
  <c r="AI114" s="1"/>
  <c r="AF115"/>
  <c r="AI115" s="1"/>
  <c r="G117"/>
  <c r="H117"/>
  <c r="AC117" s="1"/>
  <c r="J117"/>
  <c r="G118"/>
  <c r="H118"/>
  <c r="AC118" s="1"/>
  <c r="J118"/>
  <c r="G119"/>
  <c r="H119"/>
  <c r="AC119" s="1"/>
  <c r="J119"/>
  <c r="G120"/>
  <c r="H120"/>
  <c r="AC120" s="1"/>
  <c r="J120"/>
  <c r="G121"/>
  <c r="H121"/>
  <c r="AC121" s="1"/>
  <c r="J121"/>
  <c r="G122"/>
  <c r="H122"/>
  <c r="AC122" s="1"/>
  <c r="J122"/>
  <c r="G123"/>
  <c r="H123"/>
  <c r="AC123" s="1"/>
  <c r="J123"/>
  <c r="G124"/>
  <c r="H124"/>
  <c r="AC124" s="1"/>
  <c r="J124"/>
  <c r="G125"/>
  <c r="H125"/>
  <c r="AC125" s="1"/>
  <c r="J125"/>
  <c r="G126"/>
  <c r="H126"/>
  <c r="AC126" s="1"/>
  <c r="J126"/>
  <c r="G127"/>
  <c r="H127"/>
  <c r="AC127" s="1"/>
  <c r="J127"/>
  <c r="G128"/>
  <c r="H128"/>
  <c r="AC128" s="1"/>
  <c r="J128"/>
  <c r="G129"/>
  <c r="H129"/>
  <c r="AC129" s="1"/>
  <c r="J129"/>
  <c r="G130"/>
  <c r="H130"/>
  <c r="AC130" s="1"/>
  <c r="J130"/>
  <c r="G131"/>
  <c r="H131"/>
  <c r="AC131" s="1"/>
  <c r="J131"/>
  <c r="G132"/>
  <c r="H132"/>
  <c r="AC132" s="1"/>
  <c r="J132"/>
  <c r="AF117"/>
  <c r="AI117" s="1"/>
  <c r="AG117"/>
  <c r="AF118"/>
  <c r="AI118" s="1"/>
  <c r="AG118"/>
  <c r="AF75"/>
  <c r="AG75"/>
  <c r="AF76"/>
  <c r="AG76"/>
  <c r="W33"/>
  <c r="X33"/>
  <c r="W34"/>
  <c r="X34"/>
  <c r="W35"/>
  <c r="X35"/>
  <c r="W36"/>
  <c r="X36"/>
  <c r="W37"/>
  <c r="X37"/>
  <c r="W38"/>
  <c r="X38"/>
  <c r="W39"/>
  <c r="X39"/>
  <c r="W40"/>
  <c r="X40"/>
  <c r="AF33"/>
  <c r="AI33" s="1"/>
  <c r="AH33"/>
  <c r="AF34"/>
  <c r="AQ34" s="1"/>
  <c r="AH34"/>
  <c r="J33"/>
  <c r="K33" s="1"/>
  <c r="AE33" s="1"/>
  <c r="J34"/>
  <c r="K34" s="1"/>
  <c r="AE34" s="1"/>
  <c r="AC35"/>
  <c r="J35"/>
  <c r="AD35" s="1"/>
  <c r="J36"/>
  <c r="AD36" s="1"/>
  <c r="J37"/>
  <c r="K37" s="1"/>
  <c r="AE37" s="1"/>
  <c r="J38"/>
  <c r="K38" s="1"/>
  <c r="AE38" s="1"/>
  <c r="AC39"/>
  <c r="J39"/>
  <c r="AD39" s="1"/>
  <c r="J40"/>
  <c r="AD40" s="1"/>
  <c r="J41"/>
  <c r="K41" s="1"/>
  <c r="AE41" s="1"/>
  <c r="J42"/>
  <c r="K42" s="1"/>
  <c r="AC43"/>
  <c r="J43"/>
  <c r="AD43" s="1"/>
  <c r="J44"/>
  <c r="K44" s="1"/>
  <c r="AE44" s="1"/>
  <c r="J45"/>
  <c r="K45" s="1"/>
  <c r="AE45" s="1"/>
  <c r="J46"/>
  <c r="K46" s="1"/>
  <c r="AE46" s="1"/>
  <c r="AC47"/>
  <c r="J47"/>
  <c r="AD47" s="1"/>
  <c r="J48"/>
  <c r="K48" s="1"/>
  <c r="AE48" s="1"/>
  <c r="G80"/>
  <c r="H80"/>
  <c r="AC80" s="1"/>
  <c r="J80"/>
  <c r="G81"/>
  <c r="H81"/>
  <c r="AC81" s="1"/>
  <c r="J81"/>
  <c r="G82"/>
  <c r="H82"/>
  <c r="AC82" s="1"/>
  <c r="J82"/>
  <c r="G83"/>
  <c r="H83"/>
  <c r="AC83" s="1"/>
  <c r="J83"/>
  <c r="G84"/>
  <c r="H84"/>
  <c r="AC84" s="1"/>
  <c r="J84"/>
  <c r="G85"/>
  <c r="H85"/>
  <c r="AC85" s="1"/>
  <c r="J85"/>
  <c r="G86"/>
  <c r="H86"/>
  <c r="AC86" s="1"/>
  <c r="J86"/>
  <c r="G87"/>
  <c r="H87"/>
  <c r="AC87" s="1"/>
  <c r="J87"/>
  <c r="G88"/>
  <c r="H88"/>
  <c r="AC88" s="1"/>
  <c r="J88"/>
  <c r="G89"/>
  <c r="H89"/>
  <c r="AC89" s="1"/>
  <c r="J89"/>
  <c r="G90"/>
  <c r="H90"/>
  <c r="AC90" s="1"/>
  <c r="J90"/>
  <c r="G75"/>
  <c r="H75"/>
  <c r="AC75" s="1"/>
  <c r="J75"/>
  <c r="G76"/>
  <c r="H76"/>
  <c r="AC76" s="1"/>
  <c r="J76"/>
  <c r="G77"/>
  <c r="H77"/>
  <c r="AC77" s="1"/>
  <c r="J77"/>
  <c r="G78"/>
  <c r="H78"/>
  <c r="AC78" s="1"/>
  <c r="J78"/>
  <c r="G79"/>
  <c r="H79"/>
  <c r="AC79" s="1"/>
  <c r="J79"/>
  <c r="AU192"/>
  <c r="AX192" s="1"/>
  <c r="AV192"/>
  <c r="AU193"/>
  <c r="AX193" s="1"/>
  <c r="AV193"/>
  <c r="AA192"/>
  <c r="AA195"/>
  <c r="AA196"/>
  <c r="AA199"/>
  <c r="O192"/>
  <c r="AI192" s="1"/>
  <c r="P192"/>
  <c r="AJ192" s="1"/>
  <c r="Q192"/>
  <c r="AK192" s="1"/>
  <c r="R192"/>
  <c r="AL192" s="1"/>
  <c r="S192"/>
  <c r="AM192" s="1"/>
  <c r="T192"/>
  <c r="AN192" s="1"/>
  <c r="O193"/>
  <c r="AI193" s="1"/>
  <c r="P193"/>
  <c r="AJ193" s="1"/>
  <c r="Q193"/>
  <c r="AK193" s="1"/>
  <c r="R193"/>
  <c r="AL193" s="1"/>
  <c r="S193"/>
  <c r="AM193" s="1"/>
  <c r="T193"/>
  <c r="AN193" s="1"/>
  <c r="O194"/>
  <c r="AI194" s="1"/>
  <c r="P194"/>
  <c r="AJ194" s="1"/>
  <c r="Q194"/>
  <c r="AK194" s="1"/>
  <c r="R194"/>
  <c r="AL194" s="1"/>
  <c r="S194"/>
  <c r="AM194" s="1"/>
  <c r="T194"/>
  <c r="AN194" s="1"/>
  <c r="O195"/>
  <c r="AI195" s="1"/>
  <c r="P195"/>
  <c r="AJ195" s="1"/>
  <c r="Q195"/>
  <c r="AK195" s="1"/>
  <c r="R195"/>
  <c r="AL195" s="1"/>
  <c r="S195"/>
  <c r="AM195" s="1"/>
  <c r="T195"/>
  <c r="AN195" s="1"/>
  <c r="O196"/>
  <c r="AI196" s="1"/>
  <c r="P196"/>
  <c r="AJ196" s="1"/>
  <c r="Q196"/>
  <c r="AK196" s="1"/>
  <c r="R196"/>
  <c r="AL196" s="1"/>
  <c r="S196"/>
  <c r="AM196" s="1"/>
  <c r="T196"/>
  <c r="AN196" s="1"/>
  <c r="O197"/>
  <c r="AI197" s="1"/>
  <c r="P197"/>
  <c r="AJ197" s="1"/>
  <c r="Q197"/>
  <c r="AK197" s="1"/>
  <c r="R197"/>
  <c r="AL197" s="1"/>
  <c r="S197"/>
  <c r="AM197" s="1"/>
  <c r="T197"/>
  <c r="AN197" s="1"/>
  <c r="O198"/>
  <c r="AI198" s="1"/>
  <c r="P198"/>
  <c r="AJ198" s="1"/>
  <c r="Q198"/>
  <c r="AK198" s="1"/>
  <c r="R198"/>
  <c r="AL198" s="1"/>
  <c r="S198"/>
  <c r="AM198" s="1"/>
  <c r="T198"/>
  <c r="AN198" s="1"/>
  <c r="O199"/>
  <c r="AI199" s="1"/>
  <c r="P199"/>
  <c r="AJ199" s="1"/>
  <c r="Q199"/>
  <c r="AK199" s="1"/>
  <c r="R199"/>
  <c r="AL199" s="1"/>
  <c r="S199"/>
  <c r="AM199" s="1"/>
  <c r="T199"/>
  <c r="AN199" s="1"/>
  <c r="AA191"/>
  <c r="AA193"/>
  <c r="AA194"/>
  <c r="AA197"/>
  <c r="AA198"/>
  <c r="B75"/>
  <c r="E75"/>
  <c r="B76"/>
  <c r="E76"/>
  <c r="B117"/>
  <c r="B118"/>
  <c r="B192"/>
  <c r="B193"/>
  <c r="AD50" i="4"/>
  <c r="P224" i="38"/>
  <c r="N224"/>
  <c r="L224"/>
  <c r="O217"/>
  <c r="Q217" s="1"/>
  <c r="N217"/>
  <c r="P217" s="1"/>
  <c r="E207"/>
  <c r="E185" s="1"/>
  <c r="AY206"/>
  <c r="D206"/>
  <c r="U205"/>
  <c r="AR204"/>
  <c r="AR210" s="1"/>
  <c r="B204"/>
  <c r="T203"/>
  <c r="Z203" s="1"/>
  <c r="Z205" s="1"/>
  <c r="S203"/>
  <c r="Y203" s="1"/>
  <c r="Y205" s="1"/>
  <c r="R203"/>
  <c r="X203" s="1"/>
  <c r="X205" s="1"/>
  <c r="Q203"/>
  <c r="W203" s="1"/>
  <c r="W205" s="1"/>
  <c r="P203"/>
  <c r="V203" s="1"/>
  <c r="V205" s="1"/>
  <c r="B203"/>
  <c r="B202"/>
  <c r="AP201"/>
  <c r="AP202" s="1"/>
  <c r="U211" s="1"/>
  <c r="B201"/>
  <c r="AV200"/>
  <c r="O200"/>
  <c r="J200"/>
  <c r="B200"/>
  <c r="AV199"/>
  <c r="AY199" s="1"/>
  <c r="B199"/>
  <c r="AV198"/>
  <c r="AY198" s="1"/>
  <c r="B198"/>
  <c r="AV197"/>
  <c r="AY197" s="1"/>
  <c r="B197"/>
  <c r="AV196"/>
  <c r="AY196" s="1"/>
  <c r="B196"/>
  <c r="AV195"/>
  <c r="AY195" s="1"/>
  <c r="B195"/>
  <c r="AV194"/>
  <c r="AU194"/>
  <c r="AX194" s="1"/>
  <c r="B194"/>
  <c r="AV191"/>
  <c r="AU191"/>
  <c r="AX191" s="1"/>
  <c r="T191"/>
  <c r="AN191" s="1"/>
  <c r="S191"/>
  <c r="AM191" s="1"/>
  <c r="R191"/>
  <c r="AL191" s="1"/>
  <c r="Q191"/>
  <c r="AK191" s="1"/>
  <c r="P191"/>
  <c r="AJ191" s="1"/>
  <c r="O191"/>
  <c r="AI191" s="1"/>
  <c r="B191"/>
  <c r="AV190"/>
  <c r="AY190" s="1"/>
  <c r="T190"/>
  <c r="AN190" s="1"/>
  <c r="S190"/>
  <c r="AM190" s="1"/>
  <c r="R190"/>
  <c r="AL190" s="1"/>
  <c r="Q190"/>
  <c r="AK190" s="1"/>
  <c r="P190"/>
  <c r="AJ190" s="1"/>
  <c r="O190"/>
  <c r="AI190" s="1"/>
  <c r="AA190"/>
  <c r="B190"/>
  <c r="AV189"/>
  <c r="AY189" s="1"/>
  <c r="T189"/>
  <c r="AN189" s="1"/>
  <c r="S189"/>
  <c r="AM189" s="1"/>
  <c r="R189"/>
  <c r="AL189" s="1"/>
  <c r="Q189"/>
  <c r="AK189" s="1"/>
  <c r="P189"/>
  <c r="AJ189" s="1"/>
  <c r="O189"/>
  <c r="AI189" s="1"/>
  <c r="AA189"/>
  <c r="B189"/>
  <c r="AV188"/>
  <c r="AY188" s="1"/>
  <c r="T188"/>
  <c r="AN188" s="1"/>
  <c r="S188"/>
  <c r="AM188" s="1"/>
  <c r="R188"/>
  <c r="AL188" s="1"/>
  <c r="Q188"/>
  <c r="AK188" s="1"/>
  <c r="P188"/>
  <c r="AJ188" s="1"/>
  <c r="O188"/>
  <c r="AI188" s="1"/>
  <c r="AA188"/>
  <c r="B188"/>
  <c r="AV187"/>
  <c r="AY187" s="1"/>
  <c r="T187"/>
  <c r="AN187" s="1"/>
  <c r="S187"/>
  <c r="AM187" s="1"/>
  <c r="R187"/>
  <c r="AL187" s="1"/>
  <c r="Q187"/>
  <c r="AK187" s="1"/>
  <c r="P187"/>
  <c r="AJ187" s="1"/>
  <c r="O187"/>
  <c r="AI187" s="1"/>
  <c r="AA187"/>
  <c r="B187"/>
  <c r="AV186"/>
  <c r="AY186" s="1"/>
  <c r="T186"/>
  <c r="AN186" s="1"/>
  <c r="S186"/>
  <c r="AM186" s="1"/>
  <c r="R186"/>
  <c r="AL186" s="1"/>
  <c r="Q186"/>
  <c r="AK186" s="1"/>
  <c r="P186"/>
  <c r="AJ186" s="1"/>
  <c r="O186"/>
  <c r="AI186" s="1"/>
  <c r="AA186"/>
  <c r="B186"/>
  <c r="AV185"/>
  <c r="AX185"/>
  <c r="T185"/>
  <c r="AN185" s="1"/>
  <c r="S185"/>
  <c r="AM185" s="1"/>
  <c r="R185"/>
  <c r="AL185" s="1"/>
  <c r="Q185"/>
  <c r="AK185" s="1"/>
  <c r="AA185"/>
  <c r="B185"/>
  <c r="T184"/>
  <c r="AN184" s="1"/>
  <c r="S184"/>
  <c r="AM184" s="1"/>
  <c r="R184"/>
  <c r="AL184" s="1"/>
  <c r="Q184"/>
  <c r="AK184" s="1"/>
  <c r="P184"/>
  <c r="AJ184" s="1"/>
  <c r="O184"/>
  <c r="AI184" s="1"/>
  <c r="AA184"/>
  <c r="T183"/>
  <c r="AN183" s="1"/>
  <c r="S183"/>
  <c r="AM183" s="1"/>
  <c r="R183"/>
  <c r="AL183" s="1"/>
  <c r="Q183"/>
  <c r="AK183" s="1"/>
  <c r="P183"/>
  <c r="AJ183" s="1"/>
  <c r="O183"/>
  <c r="AI183" s="1"/>
  <c r="AA183"/>
  <c r="D183"/>
  <c r="T182"/>
  <c r="AN182" s="1"/>
  <c r="S182"/>
  <c r="AM182" s="1"/>
  <c r="R182"/>
  <c r="AL182" s="1"/>
  <c r="Q182"/>
  <c r="AK182" s="1"/>
  <c r="P182"/>
  <c r="AJ182" s="1"/>
  <c r="O182"/>
  <c r="AI182" s="1"/>
  <c r="AA182"/>
  <c r="D182"/>
  <c r="T181"/>
  <c r="AN181" s="1"/>
  <c r="S181"/>
  <c r="AM181" s="1"/>
  <c r="R181"/>
  <c r="AL181" s="1"/>
  <c r="Q181"/>
  <c r="AK181" s="1"/>
  <c r="P181"/>
  <c r="AJ181" s="1"/>
  <c r="O181"/>
  <c r="AI181" s="1"/>
  <c r="AA181"/>
  <c r="T180"/>
  <c r="AN180" s="1"/>
  <c r="S180"/>
  <c r="AM180" s="1"/>
  <c r="R180"/>
  <c r="AL180" s="1"/>
  <c r="Q180"/>
  <c r="AK180" s="1"/>
  <c r="P180"/>
  <c r="AJ180" s="1"/>
  <c r="O180"/>
  <c r="AI180" s="1"/>
  <c r="AA180"/>
  <c r="T179"/>
  <c r="AN179" s="1"/>
  <c r="S179"/>
  <c r="AM179" s="1"/>
  <c r="R179"/>
  <c r="AL179" s="1"/>
  <c r="Q179"/>
  <c r="AK179" s="1"/>
  <c r="P179"/>
  <c r="AJ179" s="1"/>
  <c r="O179"/>
  <c r="AI179" s="1"/>
  <c r="AA179"/>
  <c r="T178"/>
  <c r="AN178" s="1"/>
  <c r="S178"/>
  <c r="AM178" s="1"/>
  <c r="R178"/>
  <c r="AL178" s="1"/>
  <c r="Q178"/>
  <c r="AK178" s="1"/>
  <c r="P178"/>
  <c r="AJ178" s="1"/>
  <c r="O178"/>
  <c r="AI178" s="1"/>
  <c r="AA178"/>
  <c r="T177"/>
  <c r="S177"/>
  <c r="R177"/>
  <c r="Q177"/>
  <c r="P177"/>
  <c r="O177"/>
  <c r="H177"/>
  <c r="AS177" s="1"/>
  <c r="G177"/>
  <c r="AA177" s="1"/>
  <c r="H167"/>
  <c r="G167"/>
  <c r="E167"/>
  <c r="H166"/>
  <c r="G166"/>
  <c r="F166"/>
  <c r="D166"/>
  <c r="H165"/>
  <c r="G165"/>
  <c r="H164"/>
  <c r="G164"/>
  <c r="E164"/>
  <c r="AN162" s="1"/>
  <c r="D164"/>
  <c r="H163"/>
  <c r="G163"/>
  <c r="AJ162"/>
  <c r="H162"/>
  <c r="G162"/>
  <c r="B162"/>
  <c r="H161"/>
  <c r="G161"/>
  <c r="B161"/>
  <c r="AL160"/>
  <c r="AH160"/>
  <c r="H160"/>
  <c r="G160"/>
  <c r="B160"/>
  <c r="AL159"/>
  <c r="AH159"/>
  <c r="H159"/>
  <c r="G159"/>
  <c r="B159"/>
  <c r="AL158"/>
  <c r="AH158"/>
  <c r="H158"/>
  <c r="G158"/>
  <c r="B158"/>
  <c r="AL157"/>
  <c r="AH157"/>
  <c r="H157"/>
  <c r="G157"/>
  <c r="B157"/>
  <c r="AL156"/>
  <c r="AH156"/>
  <c r="H156"/>
  <c r="G156"/>
  <c r="B156"/>
  <c r="AL155"/>
  <c r="AH155"/>
  <c r="H155"/>
  <c r="G155"/>
  <c r="B155"/>
  <c r="AL154"/>
  <c r="AH154"/>
  <c r="H154"/>
  <c r="G154"/>
  <c r="B154"/>
  <c r="AL153"/>
  <c r="AH153"/>
  <c r="H153"/>
  <c r="G153"/>
  <c r="B153"/>
  <c r="AL152"/>
  <c r="AH152"/>
  <c r="H152"/>
  <c r="G152"/>
  <c r="B152"/>
  <c r="AL151"/>
  <c r="AH151"/>
  <c r="H151"/>
  <c r="G151"/>
  <c r="B151"/>
  <c r="AL150"/>
  <c r="AH150"/>
  <c r="AE150"/>
  <c r="H150"/>
  <c r="G150"/>
  <c r="F150"/>
  <c r="D150"/>
  <c r="B150"/>
  <c r="AL149"/>
  <c r="AH149"/>
  <c r="AE149"/>
  <c r="H149"/>
  <c r="G149"/>
  <c r="AL148"/>
  <c r="AH148"/>
  <c r="AE148"/>
  <c r="AI148" s="1"/>
  <c r="H148"/>
  <c r="AD148" s="1"/>
  <c r="G148"/>
  <c r="F148"/>
  <c r="L165" s="1"/>
  <c r="D148"/>
  <c r="J168" s="1"/>
  <c r="D146"/>
  <c r="F145"/>
  <c r="F146" s="1"/>
  <c r="F144"/>
  <c r="F140"/>
  <c r="E138"/>
  <c r="J134"/>
  <c r="K134" s="1"/>
  <c r="J133"/>
  <c r="AJ131"/>
  <c r="E131"/>
  <c r="D131"/>
  <c r="AG130"/>
  <c r="AG129"/>
  <c r="AJ129" s="1"/>
  <c r="E129"/>
  <c r="B129"/>
  <c r="AG128"/>
  <c r="AJ128" s="1"/>
  <c r="E128"/>
  <c r="B128"/>
  <c r="AG127"/>
  <c r="AJ127" s="1"/>
  <c r="E127"/>
  <c r="B127"/>
  <c r="AG126"/>
  <c r="AJ126" s="1"/>
  <c r="E126"/>
  <c r="B126"/>
  <c r="AG125"/>
  <c r="AJ125" s="1"/>
  <c r="E125"/>
  <c r="B125"/>
  <c r="AG124"/>
  <c r="AJ124" s="1"/>
  <c r="B124"/>
  <c r="AG123"/>
  <c r="AJ123" s="1"/>
  <c r="B123"/>
  <c r="AG122"/>
  <c r="AJ122" s="1"/>
  <c r="B122"/>
  <c r="AG121"/>
  <c r="AJ121" s="1"/>
  <c r="B121"/>
  <c r="AG120"/>
  <c r="AJ120" s="1"/>
  <c r="B120"/>
  <c r="AG119"/>
  <c r="AF119"/>
  <c r="AI119" s="1"/>
  <c r="B119"/>
  <c r="AG116"/>
  <c r="AF116"/>
  <c r="AI116" s="1"/>
  <c r="J116"/>
  <c r="H116"/>
  <c r="AC116" s="1"/>
  <c r="G116"/>
  <c r="B116"/>
  <c r="AG115"/>
  <c r="J115"/>
  <c r="H115"/>
  <c r="AC115" s="1"/>
  <c r="G115"/>
  <c r="B115"/>
  <c r="AG114"/>
  <c r="J114"/>
  <c r="H114"/>
  <c r="AC114" s="1"/>
  <c r="G114"/>
  <c r="B114"/>
  <c r="AG113"/>
  <c r="J113"/>
  <c r="H113"/>
  <c r="AC113" s="1"/>
  <c r="G113"/>
  <c r="B113"/>
  <c r="AG112"/>
  <c r="J112"/>
  <c r="H112"/>
  <c r="AC112" s="1"/>
  <c r="G112"/>
  <c r="B112"/>
  <c r="AG111"/>
  <c r="AF111"/>
  <c r="AI111" s="1"/>
  <c r="J111"/>
  <c r="H111"/>
  <c r="AC111" s="1"/>
  <c r="G111"/>
  <c r="B111"/>
  <c r="J110"/>
  <c r="H110"/>
  <c r="AC110" s="1"/>
  <c r="G110"/>
  <c r="AG109"/>
  <c r="AF109"/>
  <c r="AI109" s="1"/>
  <c r="J109"/>
  <c r="H109"/>
  <c r="AC109" s="1"/>
  <c r="G109"/>
  <c r="B109"/>
  <c r="D106"/>
  <c r="F98"/>
  <c r="E118" s="1"/>
  <c r="J92"/>
  <c r="K92" s="1"/>
  <c r="J91"/>
  <c r="AJ89"/>
  <c r="E89"/>
  <c r="D89"/>
  <c r="AG88"/>
  <c r="AF88"/>
  <c r="AG87"/>
  <c r="AF87"/>
  <c r="E87"/>
  <c r="B87"/>
  <c r="AG86"/>
  <c r="AF86"/>
  <c r="AI86" s="1"/>
  <c r="E86"/>
  <c r="B86"/>
  <c r="AG85"/>
  <c r="AF85"/>
  <c r="E85"/>
  <c r="B85"/>
  <c r="AG84"/>
  <c r="AF84"/>
  <c r="AI84" s="1"/>
  <c r="E84"/>
  <c r="B84"/>
  <c r="AG83"/>
  <c r="AF83"/>
  <c r="E83"/>
  <c r="B83"/>
  <c r="AG82"/>
  <c r="AF82"/>
  <c r="E82"/>
  <c r="B82"/>
  <c r="AG81"/>
  <c r="AF81"/>
  <c r="E81"/>
  <c r="B81"/>
  <c r="AG80"/>
  <c r="AF80"/>
  <c r="E80"/>
  <c r="B80"/>
  <c r="AG79"/>
  <c r="AF79"/>
  <c r="AI79" s="1"/>
  <c r="E79"/>
  <c r="B79"/>
  <c r="AG78"/>
  <c r="AF78"/>
  <c r="E78"/>
  <c r="B78"/>
  <c r="AG77"/>
  <c r="AF77"/>
  <c r="E77"/>
  <c r="B77"/>
  <c r="AG74"/>
  <c r="AF74"/>
  <c r="AI74" s="1"/>
  <c r="J74"/>
  <c r="H74"/>
  <c r="AC74" s="1"/>
  <c r="G74"/>
  <c r="E74"/>
  <c r="B74"/>
  <c r="AG73"/>
  <c r="J73"/>
  <c r="H73"/>
  <c r="AC73" s="1"/>
  <c r="G73"/>
  <c r="E73"/>
  <c r="B73"/>
  <c r="AG72"/>
  <c r="J72"/>
  <c r="H72"/>
  <c r="AC72" s="1"/>
  <c r="G72"/>
  <c r="E72"/>
  <c r="B72"/>
  <c r="AG71"/>
  <c r="J71"/>
  <c r="H71"/>
  <c r="AC71" s="1"/>
  <c r="G71"/>
  <c r="E71"/>
  <c r="B71"/>
  <c r="AG70"/>
  <c r="J70"/>
  <c r="H70"/>
  <c r="AC70" s="1"/>
  <c r="G70"/>
  <c r="E70"/>
  <c r="B70"/>
  <c r="AG69"/>
  <c r="J69"/>
  <c r="H69"/>
  <c r="AC69" s="1"/>
  <c r="G69"/>
  <c r="E69"/>
  <c r="B69"/>
  <c r="AG68"/>
  <c r="AF68"/>
  <c r="AI68" s="1"/>
  <c r="J68"/>
  <c r="H68"/>
  <c r="AC68" s="1"/>
  <c r="G68"/>
  <c r="E68"/>
  <c r="B68"/>
  <c r="J67"/>
  <c r="H67"/>
  <c r="AC67" s="1"/>
  <c r="G67"/>
  <c r="Z66"/>
  <c r="W66" s="1"/>
  <c r="X66" s="1"/>
  <c r="Z65"/>
  <c r="W65" s="1"/>
  <c r="X65" s="1"/>
  <c r="F65"/>
  <c r="Z64"/>
  <c r="W64" s="1"/>
  <c r="X64" s="1"/>
  <c r="B64"/>
  <c r="Z63"/>
  <c r="W63" s="1"/>
  <c r="X63" s="1"/>
  <c r="D63"/>
  <c r="Z62"/>
  <c r="W62" s="1"/>
  <c r="X62" s="1"/>
  <c r="Z61"/>
  <c r="W61" s="1"/>
  <c r="X61" s="1"/>
  <c r="Z60"/>
  <c r="W60" s="1"/>
  <c r="X60" s="1"/>
  <c r="Z59"/>
  <c r="W59" s="1"/>
  <c r="X59" s="1"/>
  <c r="Z58"/>
  <c r="W58" s="1"/>
  <c r="X58" s="1"/>
  <c r="Z57"/>
  <c r="W57" s="1"/>
  <c r="X57" s="1"/>
  <c r="X54"/>
  <c r="AC53"/>
  <c r="X53"/>
  <c r="X52"/>
  <c r="X51"/>
  <c r="X50"/>
  <c r="X49"/>
  <c r="L49"/>
  <c r="E49"/>
  <c r="AP40" s="1"/>
  <c r="D49"/>
  <c r="AL39" s="1"/>
  <c r="X48"/>
  <c r="AJ47"/>
  <c r="X47"/>
  <c r="D47"/>
  <c r="B47"/>
  <c r="X46"/>
  <c r="AP45"/>
  <c r="AL45"/>
  <c r="AH45"/>
  <c r="AF45"/>
  <c r="X45"/>
  <c r="D45"/>
  <c r="E45" s="1"/>
  <c r="AP44"/>
  <c r="AL44"/>
  <c r="AH44"/>
  <c r="AF44"/>
  <c r="AI44" s="1"/>
  <c r="D44"/>
  <c r="E44" s="1"/>
  <c r="AP43"/>
  <c r="AL43"/>
  <c r="AH43"/>
  <c r="AF43"/>
  <c r="P43"/>
  <c r="M43"/>
  <c r="D43"/>
  <c r="E43" s="1"/>
  <c r="AP42"/>
  <c r="AL42"/>
  <c r="AH42"/>
  <c r="AF42"/>
  <c r="AM42" s="1"/>
  <c r="AP41"/>
  <c r="AL41"/>
  <c r="AH41"/>
  <c r="AF41"/>
  <c r="AQ41" s="1"/>
  <c r="B41"/>
  <c r="AH40"/>
  <c r="AF40"/>
  <c r="AM40" s="1"/>
  <c r="N40"/>
  <c r="AH39"/>
  <c r="AF39"/>
  <c r="AQ39" s="1"/>
  <c r="AL38"/>
  <c r="AH38"/>
  <c r="AF38"/>
  <c r="AI38" s="1"/>
  <c r="AH37"/>
  <c r="AF37"/>
  <c r="AM37" s="1"/>
  <c r="AH36"/>
  <c r="AF36"/>
  <c r="AQ36" s="1"/>
  <c r="AH35"/>
  <c r="AF35"/>
  <c r="AM35" s="1"/>
  <c r="AH32"/>
  <c r="AF32"/>
  <c r="AQ32" s="1"/>
  <c r="X32"/>
  <c r="W32"/>
  <c r="J32"/>
  <c r="AD32" s="1"/>
  <c r="AH31"/>
  <c r="X31"/>
  <c r="W31"/>
  <c r="O31"/>
  <c r="M31"/>
  <c r="J31"/>
  <c r="K31" s="1"/>
  <c r="AC31"/>
  <c r="AH30"/>
  <c r="X30"/>
  <c r="W30"/>
  <c r="J30"/>
  <c r="K30" s="1"/>
  <c r="AE30" s="1"/>
  <c r="D30"/>
  <c r="E30" s="1"/>
  <c r="AL29"/>
  <c r="AH29"/>
  <c r="J29"/>
  <c r="K29" s="1"/>
  <c r="AE29" s="1"/>
  <c r="D29"/>
  <c r="AL28"/>
  <c r="AH28"/>
  <c r="M28"/>
  <c r="J28"/>
  <c r="K28" s="1"/>
  <c r="AE28" s="1"/>
  <c r="D28"/>
  <c r="E28" s="1"/>
  <c r="AH27"/>
  <c r="W27"/>
  <c r="X27" s="1"/>
  <c r="J27"/>
  <c r="K27" s="1"/>
  <c r="AC27"/>
  <c r="D27"/>
  <c r="E27" s="1"/>
  <c r="AH26"/>
  <c r="AF26"/>
  <c r="W26"/>
  <c r="X26" s="1"/>
  <c r="J26"/>
  <c r="K26" s="1"/>
  <c r="H26"/>
  <c r="AC26" s="1"/>
  <c r="G26"/>
  <c r="D26"/>
  <c r="E26" s="1"/>
  <c r="B26"/>
  <c r="W25"/>
  <c r="X25" s="1"/>
  <c r="W24"/>
  <c r="X24" s="1"/>
  <c r="C24"/>
  <c r="W23"/>
  <c r="X23" s="1"/>
  <c r="D23"/>
  <c r="E23" s="1"/>
  <c r="W22"/>
  <c r="X22" s="1"/>
  <c r="W21"/>
  <c r="X21" s="1"/>
  <c r="W20"/>
  <c r="X20" s="1"/>
  <c r="W19"/>
  <c r="X19" s="1"/>
  <c r="W18"/>
  <c r="X18" s="1"/>
  <c r="X15"/>
  <c r="W15" s="1"/>
  <c r="X14"/>
  <c r="W14" s="1"/>
  <c r="X13"/>
  <c r="W13" s="1"/>
  <c r="X12"/>
  <c r="W12" s="1"/>
  <c r="O12"/>
  <c r="X11"/>
  <c r="W11" s="1"/>
  <c r="G11"/>
  <c r="E11"/>
  <c r="X10"/>
  <c r="W10" s="1"/>
  <c r="G10"/>
  <c r="E10"/>
  <c r="X9"/>
  <c r="W9" s="1"/>
  <c r="G9"/>
  <c r="E9"/>
  <c r="X8"/>
  <c r="W8" s="1"/>
  <c r="X7"/>
  <c r="W7" s="1"/>
  <c r="X6"/>
  <c r="W6" s="1"/>
  <c r="O74" i="5"/>
  <c r="I74"/>
  <c r="I114" i="14"/>
  <c r="I112"/>
  <c r="O96"/>
  <c r="M96"/>
  <c r="G91"/>
  <c r="AW64" i="36"/>
  <c r="AX64"/>
  <c r="AY64"/>
  <c r="AZ64"/>
  <c r="BA64"/>
  <c r="BB64"/>
  <c r="AW65"/>
  <c r="AX65"/>
  <c r="AY65"/>
  <c r="AZ65"/>
  <c r="BA65"/>
  <c r="BB65"/>
  <c r="AW66"/>
  <c r="AX66"/>
  <c r="AY66"/>
  <c r="AZ66"/>
  <c r="BA66"/>
  <c r="BB66"/>
  <c r="AW67"/>
  <c r="AX67"/>
  <c r="AY67"/>
  <c r="AZ67"/>
  <c r="BA67"/>
  <c r="BB67"/>
  <c r="AK64"/>
  <c r="AL64"/>
  <c r="AM64"/>
  <c r="AN64"/>
  <c r="AO64"/>
  <c r="AP64"/>
  <c r="AK65"/>
  <c r="AL65"/>
  <c r="AM65"/>
  <c r="AN65"/>
  <c r="AO65"/>
  <c r="AP65"/>
  <c r="AK66"/>
  <c r="AL66"/>
  <c r="AM66"/>
  <c r="AN66"/>
  <c r="AO66"/>
  <c r="AP66"/>
  <c r="AK67"/>
  <c r="AL67"/>
  <c r="AM67"/>
  <c r="AN67"/>
  <c r="AO67"/>
  <c r="AP67"/>
  <c r="AW193" i="38" l="1"/>
  <c r="AZ193" s="1"/>
  <c r="AH118"/>
  <c r="AK118" s="1"/>
  <c r="AH76"/>
  <c r="AK76" s="1"/>
  <c r="AG34"/>
  <c r="AK34" s="1"/>
  <c r="AL26"/>
  <c r="AL32"/>
  <c r="AL35"/>
  <c r="AM45"/>
  <c r="AN45" s="1"/>
  <c r="AL27"/>
  <c r="AP31"/>
  <c r="AL36"/>
  <c r="AJ38"/>
  <c r="AL40"/>
  <c r="AN40" s="1"/>
  <c r="AY191"/>
  <c r="K39"/>
  <c r="AE39" s="1"/>
  <c r="AL30"/>
  <c r="AL31"/>
  <c r="AL37"/>
  <c r="AJ79"/>
  <c r="AS204"/>
  <c r="AS210" s="1"/>
  <c r="K35"/>
  <c r="AE35" s="1"/>
  <c r="AJ117"/>
  <c r="AJ84"/>
  <c r="AJ86"/>
  <c r="K47"/>
  <c r="AE47" s="1"/>
  <c r="AJ33"/>
  <c r="AP27"/>
  <c r="AJ119"/>
  <c r="AY193"/>
  <c r="K43"/>
  <c r="AP39"/>
  <c r="AJ74"/>
  <c r="AJ111"/>
  <c r="AY194"/>
  <c r="AT204"/>
  <c r="AT210" s="1"/>
  <c r="AT205" s="1"/>
  <c r="AD48"/>
  <c r="AD44"/>
  <c r="K40"/>
  <c r="AE40" s="1"/>
  <c r="K36"/>
  <c r="AE36" s="1"/>
  <c r="AP34"/>
  <c r="AP33"/>
  <c r="AJ115"/>
  <c r="AD27"/>
  <c r="AJ28"/>
  <c r="AQ31"/>
  <c r="AR31" s="1"/>
  <c r="AY200"/>
  <c r="AD28"/>
  <c r="AP29"/>
  <c r="AP30"/>
  <c r="K32"/>
  <c r="AE32" s="1"/>
  <c r="AR41"/>
  <c r="AN42"/>
  <c r="AQ43"/>
  <c r="AR43" s="1"/>
  <c r="AJ116"/>
  <c r="E117"/>
  <c r="AR34"/>
  <c r="AJ112"/>
  <c r="AM29"/>
  <c r="AN29" s="1"/>
  <c r="P200"/>
  <c r="U200"/>
  <c r="V200" s="1"/>
  <c r="AP26"/>
  <c r="AN35"/>
  <c r="AN37"/>
  <c r="AR39"/>
  <c r="AJ113"/>
  <c r="AQ30"/>
  <c r="AM31"/>
  <c r="E206"/>
  <c r="E189"/>
  <c r="E193"/>
  <c r="E197"/>
  <c r="E201"/>
  <c r="E188"/>
  <c r="E192"/>
  <c r="E196"/>
  <c r="E200"/>
  <c r="E204"/>
  <c r="E187"/>
  <c r="E191"/>
  <c r="E195"/>
  <c r="E199"/>
  <c r="E203"/>
  <c r="E186"/>
  <c r="E190"/>
  <c r="E194"/>
  <c r="E198"/>
  <c r="E202"/>
  <c r="AP28"/>
  <c r="AP32"/>
  <c r="AR32" s="1"/>
  <c r="AP35"/>
  <c r="AP36"/>
  <c r="AR36" s="1"/>
  <c r="AP37"/>
  <c r="AP38"/>
  <c r="AJ68"/>
  <c r="AL34"/>
  <c r="AL33"/>
  <c r="AJ114"/>
  <c r="AJ31"/>
  <c r="AQ27"/>
  <c r="AM44"/>
  <c r="AN44" s="1"/>
  <c r="AI73"/>
  <c r="AJ73" s="1"/>
  <c r="AI159"/>
  <c r="AJ159" s="1"/>
  <c r="AM159"/>
  <c r="AN159" s="1"/>
  <c r="AD160"/>
  <c r="AC160"/>
  <c r="AD162"/>
  <c r="AC162"/>
  <c r="AI69"/>
  <c r="AJ69" s="1"/>
  <c r="AI78"/>
  <c r="AJ78" s="1"/>
  <c r="AI85"/>
  <c r="AJ85" s="1"/>
  <c r="AD151"/>
  <c r="AC151"/>
  <c r="AD155"/>
  <c r="AC155"/>
  <c r="AD159"/>
  <c r="AC159"/>
  <c r="AD163"/>
  <c r="AC163"/>
  <c r="AD165"/>
  <c r="AC165"/>
  <c r="AD166"/>
  <c r="AC166"/>
  <c r="AI75"/>
  <c r="AJ75" s="1"/>
  <c r="AI70"/>
  <c r="AJ70" s="1"/>
  <c r="AI153"/>
  <c r="AJ153" s="1"/>
  <c r="AM153"/>
  <c r="AN153" s="1"/>
  <c r="AM160"/>
  <c r="AN160" s="1"/>
  <c r="AI160"/>
  <c r="AJ160" s="1"/>
  <c r="AI35"/>
  <c r="AJ35" s="1"/>
  <c r="AM36"/>
  <c r="AN36" s="1"/>
  <c r="AQ45"/>
  <c r="AR45" s="1"/>
  <c r="AS34"/>
  <c r="AI87"/>
  <c r="AJ87" s="1"/>
  <c r="AD152"/>
  <c r="AC152"/>
  <c r="AD164"/>
  <c r="AC164"/>
  <c r="AI77"/>
  <c r="AJ77" s="1"/>
  <c r="AI83"/>
  <c r="AJ83" s="1"/>
  <c r="C88"/>
  <c r="AI88" s="1"/>
  <c r="AI149"/>
  <c r="AJ149" s="1"/>
  <c r="AM149"/>
  <c r="AN149" s="1"/>
  <c r="AI150"/>
  <c r="AJ150" s="1"/>
  <c r="AM150"/>
  <c r="AN150" s="1"/>
  <c r="AD154"/>
  <c r="AC154"/>
  <c r="AD158"/>
  <c r="AC158"/>
  <c r="AD167"/>
  <c r="AC167"/>
  <c r="AI71"/>
  <c r="AJ71" s="1"/>
  <c r="AI154"/>
  <c r="AJ154" s="1"/>
  <c r="AM154"/>
  <c r="AN154" s="1"/>
  <c r="AM156"/>
  <c r="AN156" s="1"/>
  <c r="AI156"/>
  <c r="AJ156" s="1"/>
  <c r="AM157"/>
  <c r="AN157" s="1"/>
  <c r="AI157"/>
  <c r="AJ157" s="1"/>
  <c r="AJ44"/>
  <c r="AI40"/>
  <c r="AJ40" s="1"/>
  <c r="AI30"/>
  <c r="AJ30" s="1"/>
  <c r="AM28"/>
  <c r="AN28" s="1"/>
  <c r="AQ40"/>
  <c r="AR40" s="1"/>
  <c r="AD156"/>
  <c r="AC156"/>
  <c r="AM152"/>
  <c r="AN152" s="1"/>
  <c r="AI152"/>
  <c r="AJ152" s="1"/>
  <c r="AI80"/>
  <c r="AJ80" s="1"/>
  <c r="AI81"/>
  <c r="AJ81" s="1"/>
  <c r="AI82"/>
  <c r="AJ82" s="1"/>
  <c r="AD149"/>
  <c r="AC149"/>
  <c r="AD150"/>
  <c r="AC150"/>
  <c r="AD153"/>
  <c r="AC153"/>
  <c r="AD157"/>
  <c r="AC157"/>
  <c r="AD161"/>
  <c r="AC161"/>
  <c r="AI76"/>
  <c r="AJ76" s="1"/>
  <c r="AI72"/>
  <c r="AJ72" s="1"/>
  <c r="AI155"/>
  <c r="AJ155" s="1"/>
  <c r="AM155"/>
  <c r="AN155" s="1"/>
  <c r="AI151"/>
  <c r="AJ151" s="1"/>
  <c r="AM151"/>
  <c r="AN151" s="1"/>
  <c r="AI158"/>
  <c r="AJ158" s="1"/>
  <c r="AM158"/>
  <c r="AN158" s="1"/>
  <c r="AY192"/>
  <c r="AJ118"/>
  <c r="AI32"/>
  <c r="AJ32" s="1"/>
  <c r="AM39"/>
  <c r="AN39" s="1"/>
  <c r="AD31"/>
  <c r="AE42"/>
  <c r="AD46"/>
  <c r="AC45"/>
  <c r="AE43"/>
  <c r="AD42"/>
  <c r="AC41"/>
  <c r="AD38"/>
  <c r="AC37"/>
  <c r="AD34"/>
  <c r="AC33"/>
  <c r="AE31"/>
  <c r="AD30"/>
  <c r="AC29"/>
  <c r="AE27"/>
  <c r="AI45"/>
  <c r="AJ45" s="1"/>
  <c r="AI42"/>
  <c r="AJ42" s="1"/>
  <c r="AI37"/>
  <c r="AJ37" s="1"/>
  <c r="AI34"/>
  <c r="AJ34" s="1"/>
  <c r="AI27"/>
  <c r="AJ27" s="1"/>
  <c r="AM41"/>
  <c r="AN41" s="1"/>
  <c r="AM38"/>
  <c r="AN38" s="1"/>
  <c r="AO34"/>
  <c r="AM33"/>
  <c r="AM30"/>
  <c r="AN30" s="1"/>
  <c r="AQ44"/>
  <c r="AR44" s="1"/>
  <c r="AQ42"/>
  <c r="AR42" s="1"/>
  <c r="AQ35"/>
  <c r="AQ33"/>
  <c r="AR33" s="1"/>
  <c r="AQ28"/>
  <c r="AI43"/>
  <c r="AJ43" s="1"/>
  <c r="AQ38"/>
  <c r="AC48"/>
  <c r="AD45"/>
  <c r="AC44"/>
  <c r="AD41"/>
  <c r="AC40"/>
  <c r="AD37"/>
  <c r="AC36"/>
  <c r="AD33"/>
  <c r="AC32"/>
  <c r="AD29"/>
  <c r="AC28"/>
  <c r="AI39"/>
  <c r="AJ39" s="1"/>
  <c r="AI36"/>
  <c r="AJ36" s="1"/>
  <c r="AI29"/>
  <c r="AJ29" s="1"/>
  <c r="AM43"/>
  <c r="AN43" s="1"/>
  <c r="AM32"/>
  <c r="AM27"/>
  <c r="AQ37"/>
  <c r="AI41"/>
  <c r="AJ41" s="1"/>
  <c r="AM34"/>
  <c r="C46"/>
  <c r="E47"/>
  <c r="AQ26"/>
  <c r="AR26" s="1"/>
  <c r="F164"/>
  <c r="AH177"/>
  <c r="L158"/>
  <c r="AD177"/>
  <c r="AT177"/>
  <c r="AJ177"/>
  <c r="AN177"/>
  <c r="AQ177"/>
  <c r="AI177"/>
  <c r="AM177"/>
  <c r="AL177"/>
  <c r="AM148"/>
  <c r="AN148" s="1"/>
  <c r="AC148"/>
  <c r="F154"/>
  <c r="AF177"/>
  <c r="AR177"/>
  <c r="D157"/>
  <c r="C205"/>
  <c r="AY213"/>
  <c r="C178" s="1"/>
  <c r="L154"/>
  <c r="AD26"/>
  <c r="AC91"/>
  <c r="C61" s="1"/>
  <c r="D153"/>
  <c r="AS200"/>
  <c r="Y204" s="1"/>
  <c r="Y206" s="1"/>
  <c r="AE177"/>
  <c r="AP177"/>
  <c r="J153"/>
  <c r="E163"/>
  <c r="F163" s="1"/>
  <c r="F158"/>
  <c r="AC133"/>
  <c r="C104" s="1"/>
  <c r="E124"/>
  <c r="E123"/>
  <c r="E122"/>
  <c r="E121"/>
  <c r="AR208"/>
  <c r="AR206"/>
  <c r="AR209"/>
  <c r="L223"/>
  <c r="M223" s="1"/>
  <c r="AR205"/>
  <c r="AR207"/>
  <c r="E24"/>
  <c r="F89"/>
  <c r="E109"/>
  <c r="B110" s="1"/>
  <c r="E119"/>
  <c r="AT207"/>
  <c r="P223"/>
  <c r="Q223" s="1"/>
  <c r="AT209"/>
  <c r="D24"/>
  <c r="AE26"/>
  <c r="AI26"/>
  <c r="AM26"/>
  <c r="E29"/>
  <c r="AQ29" s="1"/>
  <c r="E120"/>
  <c r="C130"/>
  <c r="D46"/>
  <c r="N223"/>
  <c r="O223" s="1"/>
  <c r="AS207"/>
  <c r="AS208"/>
  <c r="AS206"/>
  <c r="AS209"/>
  <c r="AS205"/>
  <c r="AN47"/>
  <c r="AJ109"/>
  <c r="E111"/>
  <c r="E112"/>
  <c r="E113"/>
  <c r="E114"/>
  <c r="E115"/>
  <c r="E116"/>
  <c r="L148"/>
  <c r="L149"/>
  <c r="L151"/>
  <c r="D154"/>
  <c r="J154"/>
  <c r="F155"/>
  <c r="L155"/>
  <c r="D158"/>
  <c r="J158"/>
  <c r="F159"/>
  <c r="L159"/>
  <c r="C163"/>
  <c r="D163" s="1"/>
  <c r="J165"/>
  <c r="AC177"/>
  <c r="AG177"/>
  <c r="AK177"/>
  <c r="AO177"/>
  <c r="AY185"/>
  <c r="O202"/>
  <c r="AY212"/>
  <c r="J148"/>
  <c r="AJ148"/>
  <c r="J149"/>
  <c r="L150"/>
  <c r="J151"/>
  <c r="F152"/>
  <c r="L152"/>
  <c r="D155"/>
  <c r="J155"/>
  <c r="F156"/>
  <c r="L156"/>
  <c r="D159"/>
  <c r="J159"/>
  <c r="F160"/>
  <c r="L160"/>
  <c r="F162"/>
  <c r="L162"/>
  <c r="L163"/>
  <c r="L164"/>
  <c r="L166"/>
  <c r="L169"/>
  <c r="I202"/>
  <c r="F207"/>
  <c r="F131"/>
  <c r="J150"/>
  <c r="D152"/>
  <c r="J152"/>
  <c r="F153"/>
  <c r="L153"/>
  <c r="D156"/>
  <c r="J156"/>
  <c r="F157"/>
  <c r="L157"/>
  <c r="D160"/>
  <c r="J160"/>
  <c r="F161"/>
  <c r="L161"/>
  <c r="D162"/>
  <c r="J162"/>
  <c r="J163"/>
  <c r="J164"/>
  <c r="J166"/>
  <c r="L167"/>
  <c r="L168"/>
  <c r="J169"/>
  <c r="J157"/>
  <c r="D161"/>
  <c r="J161"/>
  <c r="J167"/>
  <c r="Q192" i="14"/>
  <c r="Q193"/>
  <c r="Q194"/>
  <c r="Q195"/>
  <c r="Q196"/>
  <c r="Q197"/>
  <c r="AU54" i="5"/>
  <c r="AX54" s="1"/>
  <c r="AV54"/>
  <c r="AU55"/>
  <c r="AX55" s="1"/>
  <c r="AV55"/>
  <c r="Y38"/>
  <c r="L29" i="14"/>
  <c r="AN26" i="38" l="1"/>
  <c r="AR38"/>
  <c r="AN32"/>
  <c r="E46"/>
  <c r="E88"/>
  <c r="AR47"/>
  <c r="AR54" s="1"/>
  <c r="E15" s="1"/>
  <c r="AN27"/>
  <c r="AR28"/>
  <c r="AR29"/>
  <c r="AR37"/>
  <c r="AN33"/>
  <c r="AN31"/>
  <c r="AT208"/>
  <c r="P221" s="1"/>
  <c r="Q221" s="1"/>
  <c r="AR35"/>
  <c r="AR27"/>
  <c r="AT206"/>
  <c r="AN34"/>
  <c r="AR30"/>
  <c r="AJ91"/>
  <c r="AY54" i="5"/>
  <c r="AK130" i="38"/>
  <c r="AI130"/>
  <c r="AJ130" s="1"/>
  <c r="AJ134" s="1"/>
  <c r="F194"/>
  <c r="F204"/>
  <c r="F188"/>
  <c r="F190"/>
  <c r="F196"/>
  <c r="F200"/>
  <c r="F187"/>
  <c r="F189"/>
  <c r="F191"/>
  <c r="F193"/>
  <c r="F195"/>
  <c r="F197"/>
  <c r="F199"/>
  <c r="F201"/>
  <c r="F203"/>
  <c r="F186"/>
  <c r="F192"/>
  <c r="F198"/>
  <c r="F202"/>
  <c r="AN55"/>
  <c r="AJ88"/>
  <c r="AJ94" s="1"/>
  <c r="AY55" i="5"/>
  <c r="AK88" i="38"/>
  <c r="AJ133"/>
  <c r="E208"/>
  <c r="AY208"/>
  <c r="F47"/>
  <c r="AJ96"/>
  <c r="C56" s="1"/>
  <c r="AJ97"/>
  <c r="C59" s="1"/>
  <c r="AN164"/>
  <c r="AY210"/>
  <c r="AN168"/>
  <c r="E142" s="1"/>
  <c r="AJ95"/>
  <c r="AN165"/>
  <c r="AJ200"/>
  <c r="AR53"/>
  <c r="AT200"/>
  <c r="Z204" s="1"/>
  <c r="Z206" s="1"/>
  <c r="AD200"/>
  <c r="AE200"/>
  <c r="AD168"/>
  <c r="E144" s="1"/>
  <c r="AN52"/>
  <c r="M169"/>
  <c r="AN167"/>
  <c r="AY209"/>
  <c r="AI200"/>
  <c r="AC49"/>
  <c r="C20" s="1"/>
  <c r="AN200"/>
  <c r="AN53"/>
  <c r="AD49"/>
  <c r="D20" s="1"/>
  <c r="AM200"/>
  <c r="AR200"/>
  <c r="X204" s="1"/>
  <c r="X206" s="1"/>
  <c r="AJ164"/>
  <c r="AR52"/>
  <c r="AH200"/>
  <c r="AN163"/>
  <c r="AL200"/>
  <c r="AP200"/>
  <c r="V204" s="1"/>
  <c r="V206" s="1"/>
  <c r="AQ200"/>
  <c r="W204" s="1"/>
  <c r="W206" s="1"/>
  <c r="AF200"/>
  <c r="AC168"/>
  <c r="C144" s="1"/>
  <c r="R205"/>
  <c r="S205"/>
  <c r="O205"/>
  <c r="T205"/>
  <c r="P205"/>
  <c r="Q205"/>
  <c r="N219"/>
  <c r="O219" s="1"/>
  <c r="P219"/>
  <c r="Q219" s="1"/>
  <c r="P218"/>
  <c r="Q218" s="1"/>
  <c r="AJ163"/>
  <c r="AK200"/>
  <c r="AE49"/>
  <c r="E20" s="1"/>
  <c r="AJ165"/>
  <c r="AJ137"/>
  <c r="AR55"/>
  <c r="N205"/>
  <c r="J205"/>
  <c r="K205"/>
  <c r="L205"/>
  <c r="M205"/>
  <c r="I205"/>
  <c r="N222"/>
  <c r="O222" s="1"/>
  <c r="N220"/>
  <c r="O220" s="1"/>
  <c r="E130"/>
  <c r="AJ55"/>
  <c r="AJ26"/>
  <c r="AJ49" s="1"/>
  <c r="P220"/>
  <c r="Q220" s="1"/>
  <c r="L218"/>
  <c r="M218" s="1"/>
  <c r="L221"/>
  <c r="M221" s="1"/>
  <c r="AJ168"/>
  <c r="AO200"/>
  <c r="U204" s="1"/>
  <c r="U206" s="1"/>
  <c r="AJ167"/>
  <c r="AJ54"/>
  <c r="F206"/>
  <c r="C175"/>
  <c r="N218"/>
  <c r="O218" s="1"/>
  <c r="AJ135"/>
  <c r="P222"/>
  <c r="Q222" s="1"/>
  <c r="L219"/>
  <c r="M219" s="1"/>
  <c r="F185"/>
  <c r="AC200"/>
  <c r="N221"/>
  <c r="O221" s="1"/>
  <c r="AJ52"/>
  <c r="AJ53"/>
  <c r="L220"/>
  <c r="M220" s="1"/>
  <c r="L222"/>
  <c r="M222" s="1"/>
  <c r="AG200"/>
  <c r="AN54"/>
  <c r="AJ136"/>
  <c r="B50" i="37"/>
  <c r="B48"/>
  <c r="P90" i="36"/>
  <c r="T85" i="9"/>
  <c r="S85"/>
  <c r="T83"/>
  <c r="S83"/>
  <c r="T81"/>
  <c r="S81"/>
  <c r="T79"/>
  <c r="S79"/>
  <c r="T77"/>
  <c r="S77"/>
  <c r="T75"/>
  <c r="S75"/>
  <c r="T73"/>
  <c r="S73"/>
  <c r="T71"/>
  <c r="S71"/>
  <c r="T69"/>
  <c r="S69"/>
  <c r="T67"/>
  <c r="S67"/>
  <c r="T65"/>
  <c r="S65"/>
  <c r="T63"/>
  <c r="S63"/>
  <c r="T61"/>
  <c r="S61"/>
  <c r="AR49" i="38" l="1"/>
  <c r="AR57" s="1"/>
  <c r="E16" s="1"/>
  <c r="AP55" s="1"/>
  <c r="K20" s="1"/>
  <c r="K22" s="1"/>
  <c r="AN49"/>
  <c r="AN56" s="1"/>
  <c r="D51" s="1"/>
  <c r="AH206"/>
  <c r="U210" s="1"/>
  <c r="J204"/>
  <c r="J206" s="1"/>
  <c r="O204"/>
  <c r="O206" s="1"/>
  <c r="AY214"/>
  <c r="C176" s="1"/>
  <c r="AH208" s="1"/>
  <c r="C220" s="1"/>
  <c r="C222" s="1"/>
  <c r="AY215"/>
  <c r="C209" s="1"/>
  <c r="AJ98"/>
  <c r="F92" s="1"/>
  <c r="AJ99"/>
  <c r="C57" s="1"/>
  <c r="AC97" s="1"/>
  <c r="I59" s="1"/>
  <c r="AN171"/>
  <c r="E140" s="1"/>
  <c r="AN169"/>
  <c r="E169" s="1"/>
  <c r="K204"/>
  <c r="K206" s="1"/>
  <c r="N204"/>
  <c r="N206" s="1"/>
  <c r="E139"/>
  <c r="T204"/>
  <c r="T206" s="1"/>
  <c r="L204"/>
  <c r="L206" s="1"/>
  <c r="P204"/>
  <c r="P206" s="1"/>
  <c r="R204"/>
  <c r="R206" s="1"/>
  <c r="S204"/>
  <c r="S206" s="1"/>
  <c r="AJ139"/>
  <c r="C100" s="1"/>
  <c r="AJ138"/>
  <c r="F134" s="1"/>
  <c r="C99"/>
  <c r="AJ171"/>
  <c r="C140" s="1"/>
  <c r="AJ169"/>
  <c r="C169" s="1"/>
  <c r="C139"/>
  <c r="E18"/>
  <c r="D205"/>
  <c r="D15"/>
  <c r="C15"/>
  <c r="AJ56"/>
  <c r="C51" s="1"/>
  <c r="AJ57"/>
  <c r="C16" s="1"/>
  <c r="M204"/>
  <c r="M206" s="1"/>
  <c r="C102"/>
  <c r="I204"/>
  <c r="I206" s="1"/>
  <c r="Q204"/>
  <c r="Q206" s="1"/>
  <c r="D18"/>
  <c r="U207"/>
  <c r="U208"/>
  <c r="C142"/>
  <c r="C18"/>
  <c r="F208"/>
  <c r="C134" i="37"/>
  <c r="C133"/>
  <c r="C132"/>
  <c r="C131"/>
  <c r="C130"/>
  <c r="D129"/>
  <c r="B129"/>
  <c r="C128"/>
  <c r="D127"/>
  <c r="B127"/>
  <c r="C126"/>
  <c r="D125"/>
  <c r="B125"/>
  <c r="C124"/>
  <c r="D123"/>
  <c r="B123"/>
  <c r="G11" s="1"/>
  <c r="H11" s="1"/>
  <c r="H12" s="1"/>
  <c r="C122"/>
  <c r="D121"/>
  <c r="B121"/>
  <c r="C120"/>
  <c r="C121" s="1"/>
  <c r="D119"/>
  <c r="B119"/>
  <c r="C118"/>
  <c r="D117"/>
  <c r="B117"/>
  <c r="C116"/>
  <c r="D115"/>
  <c r="B115"/>
  <c r="C114"/>
  <c r="D113"/>
  <c r="B113"/>
  <c r="C112"/>
  <c r="C113" s="1"/>
  <c r="D111"/>
  <c r="B111"/>
  <c r="C110"/>
  <c r="D109"/>
  <c r="B109"/>
  <c r="C108"/>
  <c r="C109" s="1"/>
  <c r="D107"/>
  <c r="B107"/>
  <c r="C106"/>
  <c r="D105"/>
  <c r="B105"/>
  <c r="C104"/>
  <c r="C105" s="1"/>
  <c r="C103"/>
  <c r="C102"/>
  <c r="C101"/>
  <c r="C100"/>
  <c r="C99"/>
  <c r="C98"/>
  <c r="C97"/>
  <c r="C96"/>
  <c r="C95"/>
  <c r="C94"/>
  <c r="C93"/>
  <c r="C92"/>
  <c r="C91"/>
  <c r="K80"/>
  <c r="K73"/>
  <c r="L68"/>
  <c r="M68" s="1"/>
  <c r="S66"/>
  <c r="S65"/>
  <c r="S64"/>
  <c r="S63"/>
  <c r="C63"/>
  <c r="D63" s="1"/>
  <c r="B63"/>
  <c r="S62"/>
  <c r="S61"/>
  <c r="S60"/>
  <c r="S59"/>
  <c r="S58"/>
  <c r="S57"/>
  <c r="S56"/>
  <c r="S55"/>
  <c r="K55"/>
  <c r="K56" s="1"/>
  <c r="S54"/>
  <c r="S53"/>
  <c r="E53"/>
  <c r="S52"/>
  <c r="S51"/>
  <c r="S50"/>
  <c r="S49"/>
  <c r="S48"/>
  <c r="S47"/>
  <c r="A47"/>
  <c r="S46"/>
  <c r="S45"/>
  <c r="S44"/>
  <c r="S43"/>
  <c r="D43"/>
  <c r="B43"/>
  <c r="S42"/>
  <c r="H42"/>
  <c r="F42"/>
  <c r="S41"/>
  <c r="S40"/>
  <c r="S39"/>
  <c r="N39"/>
  <c r="F39"/>
  <c r="H39" s="1"/>
  <c r="D39"/>
  <c r="B39"/>
  <c r="S38"/>
  <c r="N38"/>
  <c r="S37"/>
  <c r="N37"/>
  <c r="S36"/>
  <c r="N36"/>
  <c r="S35"/>
  <c r="N35"/>
  <c r="S34"/>
  <c r="N34"/>
  <c r="G34"/>
  <c r="D34" s="1"/>
  <c r="S33"/>
  <c r="N33"/>
  <c r="S32"/>
  <c r="N32"/>
  <c r="S31"/>
  <c r="N31"/>
  <c r="K41" s="1"/>
  <c r="S30"/>
  <c r="N30"/>
  <c r="S29"/>
  <c r="N29"/>
  <c r="S28"/>
  <c r="N28"/>
  <c r="D28"/>
  <c r="C28"/>
  <c r="S27"/>
  <c r="N27"/>
  <c r="H27"/>
  <c r="F27"/>
  <c r="S26"/>
  <c r="N26"/>
  <c r="S25"/>
  <c r="N25"/>
  <c r="S24"/>
  <c r="N24"/>
  <c r="S23"/>
  <c r="N23"/>
  <c r="S22"/>
  <c r="N22"/>
  <c r="S21"/>
  <c r="N21"/>
  <c r="S20"/>
  <c r="S19"/>
  <c r="C19"/>
  <c r="S18"/>
  <c r="H18"/>
  <c r="F18"/>
  <c r="S17"/>
  <c r="S16"/>
  <c r="S15"/>
  <c r="S14"/>
  <c r="S13"/>
  <c r="S12"/>
  <c r="S11"/>
  <c r="M11"/>
  <c r="M8" s="1"/>
  <c r="S10"/>
  <c r="H10"/>
  <c r="F10"/>
  <c r="S9"/>
  <c r="M9"/>
  <c r="S8"/>
  <c r="L58" i="9"/>
  <c r="BE48" i="5"/>
  <c r="BB48" s="1"/>
  <c r="BC48" s="1"/>
  <c r="AO38" i="9"/>
  <c r="AL38" s="1"/>
  <c r="AM38" s="1"/>
  <c r="AO37"/>
  <c r="AL37" s="1"/>
  <c r="AM37" s="1"/>
  <c r="AO39"/>
  <c r="AL39" s="1"/>
  <c r="AM39" s="1"/>
  <c r="BL49" i="36"/>
  <c r="BI49" s="1"/>
  <c r="BJ49" s="1"/>
  <c r="BL48"/>
  <c r="BI48" s="1"/>
  <c r="BJ48" s="1"/>
  <c r="BE49" i="5"/>
  <c r="BB49" s="1"/>
  <c r="BC49" s="1"/>
  <c r="BE50"/>
  <c r="BB50" s="1"/>
  <c r="BC50" s="1"/>
  <c r="BE51"/>
  <c r="BB51" s="1"/>
  <c r="BC51" s="1"/>
  <c r="BE52"/>
  <c r="BB52" s="1"/>
  <c r="BC52" s="1"/>
  <c r="BE53"/>
  <c r="BB53" s="1"/>
  <c r="BC53" s="1"/>
  <c r="BJ63" i="36"/>
  <c r="BK63" s="1"/>
  <c r="BL54"/>
  <c r="BI54" s="1"/>
  <c r="BJ54" s="1"/>
  <c r="BJ43"/>
  <c r="BI43" s="1"/>
  <c r="BI34"/>
  <c r="BJ34"/>
  <c r="BI25"/>
  <c r="BJ25" s="1"/>
  <c r="BL53"/>
  <c r="BI53" s="1"/>
  <c r="BJ53" s="1"/>
  <c r="BL52"/>
  <c r="BI52" s="1"/>
  <c r="BJ52" s="1"/>
  <c r="BL51"/>
  <c r="BI51" s="1"/>
  <c r="BJ51" s="1"/>
  <c r="BL50"/>
  <c r="BI50" s="1"/>
  <c r="BJ50" s="1"/>
  <c r="H15" i="5"/>
  <c r="BF97" i="36"/>
  <c r="BJ62"/>
  <c r="BJ61"/>
  <c r="BJ60"/>
  <c r="BJ59"/>
  <c r="BJ58"/>
  <c r="BJ57"/>
  <c r="BH100"/>
  <c r="BF30" i="5"/>
  <c r="BG30"/>
  <c r="BF31"/>
  <c r="BG31"/>
  <c r="BF32"/>
  <c r="BG32"/>
  <c r="BF33"/>
  <c r="BG33"/>
  <c r="BF34"/>
  <c r="BG34"/>
  <c r="BF35"/>
  <c r="BG35"/>
  <c r="BD81"/>
  <c r="N83" i="9"/>
  <c r="I95"/>
  <c r="AM47"/>
  <c r="AN47"/>
  <c r="AM46"/>
  <c r="AM48"/>
  <c r="AM49"/>
  <c r="L77"/>
  <c r="AN57" i="38" l="1"/>
  <c r="D16" s="1"/>
  <c r="D17" s="1"/>
  <c r="J24" s="1"/>
  <c r="J23" s="1"/>
  <c r="AR56"/>
  <c r="E51" s="1"/>
  <c r="E168"/>
  <c r="U209"/>
  <c r="C92"/>
  <c r="AH204"/>
  <c r="I209" s="1"/>
  <c r="AH205"/>
  <c r="O210" s="1"/>
  <c r="E143"/>
  <c r="F209"/>
  <c r="AE168"/>
  <c r="K140" s="1"/>
  <c r="AC98"/>
  <c r="I60" s="1"/>
  <c r="I62" s="1"/>
  <c r="C58"/>
  <c r="I64" s="1"/>
  <c r="I63" s="1"/>
  <c r="AE169"/>
  <c r="K141" s="1"/>
  <c r="K143" s="1"/>
  <c r="C177"/>
  <c r="C224" s="1"/>
  <c r="C223" s="1"/>
  <c r="O208"/>
  <c r="E141"/>
  <c r="K145" s="1"/>
  <c r="K144" s="1"/>
  <c r="AH207"/>
  <c r="C219" s="1"/>
  <c r="C221" s="1"/>
  <c r="C179"/>
  <c r="O207"/>
  <c r="C60"/>
  <c r="I207"/>
  <c r="AC139"/>
  <c r="I102" s="1"/>
  <c r="I104" s="1"/>
  <c r="E17"/>
  <c r="K24" s="1"/>
  <c r="K23" s="1"/>
  <c r="AP54"/>
  <c r="K19" s="1"/>
  <c r="K21" s="1"/>
  <c r="C17"/>
  <c r="I24" s="1"/>
  <c r="I23" s="1"/>
  <c r="AD52"/>
  <c r="I19" s="1"/>
  <c r="D50"/>
  <c r="D19"/>
  <c r="C143"/>
  <c r="C168"/>
  <c r="C19"/>
  <c r="C50"/>
  <c r="AL54"/>
  <c r="C141"/>
  <c r="I145" s="1"/>
  <c r="I144" s="1"/>
  <c r="AC170"/>
  <c r="I140" s="1"/>
  <c r="C134"/>
  <c r="C103"/>
  <c r="I208"/>
  <c r="C180"/>
  <c r="C101"/>
  <c r="I106" s="1"/>
  <c r="I105" s="1"/>
  <c r="AC138"/>
  <c r="I101" s="1"/>
  <c r="I103" s="1"/>
  <c r="AD53"/>
  <c r="I20" s="1"/>
  <c r="I22" s="1"/>
  <c r="AC171"/>
  <c r="I141" s="1"/>
  <c r="I143" s="1"/>
  <c r="E63" i="37"/>
  <c r="G63" s="1"/>
  <c r="C117"/>
  <c r="C125"/>
  <c r="E11"/>
  <c r="F11" s="1"/>
  <c r="F12" s="1"/>
  <c r="C107"/>
  <c r="C115"/>
  <c r="C123"/>
  <c r="C111"/>
  <c r="C119"/>
  <c r="C127"/>
  <c r="M15"/>
  <c r="M13" s="1"/>
  <c r="M14" s="1"/>
  <c r="C129"/>
  <c r="G12"/>
  <c r="L55"/>
  <c r="M55" s="1"/>
  <c r="H63"/>
  <c r="H64" s="1"/>
  <c r="K57"/>
  <c r="L56"/>
  <c r="M56" s="1"/>
  <c r="I63"/>
  <c r="I64" s="1"/>
  <c r="BE104" i="36"/>
  <c r="AL55" i="38" l="1"/>
  <c r="J20" s="1"/>
  <c r="J22" s="1"/>
  <c r="O209"/>
  <c r="E50"/>
  <c r="E19"/>
  <c r="I210"/>
  <c r="AP56"/>
  <c r="I61"/>
  <c r="K142"/>
  <c r="J19"/>
  <c r="I21"/>
  <c r="I142"/>
  <c r="F63" i="37"/>
  <c r="E12"/>
  <c r="E19"/>
  <c r="E20" s="1"/>
  <c r="E21" s="1"/>
  <c r="M16"/>
  <c r="G19"/>
  <c r="H19" s="1"/>
  <c r="H20" s="1"/>
  <c r="H21" s="1"/>
  <c r="G28"/>
  <c r="E28"/>
  <c r="K58"/>
  <c r="L57"/>
  <c r="M57" s="1"/>
  <c r="AC127" i="36"/>
  <c r="AB127"/>
  <c r="AC125"/>
  <c r="AB125"/>
  <c r="AC123"/>
  <c r="AB123"/>
  <c r="AC121"/>
  <c r="AB121"/>
  <c r="AC119"/>
  <c r="AB119"/>
  <c r="AC117"/>
  <c r="AB117"/>
  <c r="AC115"/>
  <c r="AB115"/>
  <c r="AC113"/>
  <c r="AB113"/>
  <c r="AC110"/>
  <c r="AB110"/>
  <c r="AC108"/>
  <c r="AB108"/>
  <c r="AC106"/>
  <c r="AB106"/>
  <c r="AC104"/>
  <c r="AB104"/>
  <c r="AC102"/>
  <c r="AB102"/>
  <c r="J21" i="38" l="1"/>
  <c r="AL56"/>
  <c r="F19" i="37"/>
  <c r="F20" s="1"/>
  <c r="F21" s="1"/>
  <c r="G20"/>
  <c r="G21" s="1"/>
  <c r="H28"/>
  <c r="H29" s="1"/>
  <c r="H30" s="1"/>
  <c r="G29"/>
  <c r="G30" s="1"/>
  <c r="F28"/>
  <c r="F29" s="1"/>
  <c r="F30" s="1"/>
  <c r="E29"/>
  <c r="E30" s="1"/>
  <c r="K59"/>
  <c r="L58"/>
  <c r="M58" s="1"/>
  <c r="C11" i="36"/>
  <c r="U162" i="4"/>
  <c r="U165"/>
  <c r="K60" i="37" l="1"/>
  <c r="L59"/>
  <c r="M59" s="1"/>
  <c r="K61" l="1"/>
  <c r="L60"/>
  <c r="M60" s="1"/>
  <c r="BA81" i="5"/>
  <c r="BA78"/>
  <c r="BB78" s="1"/>
  <c r="BC75"/>
  <c r="BA75"/>
  <c r="BA72"/>
  <c r="H89"/>
  <c r="K62" i="37" l="1"/>
  <c r="L61"/>
  <c r="M61" s="1"/>
  <c r="L121" i="36"/>
  <c r="J121"/>
  <c r="BI103"/>
  <c r="BE103"/>
  <c r="BE105" s="1"/>
  <c r="BG94"/>
  <c r="BE94"/>
  <c r="BE91"/>
  <c r="BE100"/>
  <c r="X92"/>
  <c r="C187"/>
  <c r="C167"/>
  <c r="AB70" s="1"/>
  <c r="I159"/>
  <c r="D159"/>
  <c r="AD62" s="1"/>
  <c r="AH62" s="1"/>
  <c r="C159"/>
  <c r="AB62" s="1"/>
  <c r="AF62" s="1"/>
  <c r="AG62" s="1"/>
  <c r="I158"/>
  <c r="D158"/>
  <c r="AD61" s="1"/>
  <c r="AH61" s="1"/>
  <c r="C158"/>
  <c r="AB61" s="1"/>
  <c r="AF61" s="1"/>
  <c r="AG61" s="1"/>
  <c r="I157"/>
  <c r="D157"/>
  <c r="AD60" s="1"/>
  <c r="AH60" s="1"/>
  <c r="C157"/>
  <c r="AB60" s="1"/>
  <c r="AF60" s="1"/>
  <c r="AG60" s="1"/>
  <c r="I156"/>
  <c r="D156"/>
  <c r="AD59" s="1"/>
  <c r="AH59" s="1"/>
  <c r="C156"/>
  <c r="AB59" s="1"/>
  <c r="AF59" s="1"/>
  <c r="AG59" s="1"/>
  <c r="I155"/>
  <c r="D155"/>
  <c r="AD58" s="1"/>
  <c r="AH58" s="1"/>
  <c r="C155"/>
  <c r="AB58" s="1"/>
  <c r="AF58" s="1"/>
  <c r="AG58" s="1"/>
  <c r="I154"/>
  <c r="D154"/>
  <c r="AD57" s="1"/>
  <c r="AH57" s="1"/>
  <c r="C154"/>
  <c r="AB57" s="1"/>
  <c r="AF57" s="1"/>
  <c r="AG57" s="1"/>
  <c r="I153"/>
  <c r="D153"/>
  <c r="AD56" s="1"/>
  <c r="AH56" s="1"/>
  <c r="C153"/>
  <c r="AB56" s="1"/>
  <c r="AF56" s="1"/>
  <c r="AG56" s="1"/>
  <c r="I152"/>
  <c r="D152"/>
  <c r="AD55" s="1"/>
  <c r="AH55" s="1"/>
  <c r="C152"/>
  <c r="AB55" s="1"/>
  <c r="AF55" s="1"/>
  <c r="AG55" s="1"/>
  <c r="I151"/>
  <c r="D151"/>
  <c r="AD54" s="1"/>
  <c r="AH54" s="1"/>
  <c r="C151"/>
  <c r="AB54" s="1"/>
  <c r="AF54" s="1"/>
  <c r="AG54" s="1"/>
  <c r="I150"/>
  <c r="D150"/>
  <c r="AD53" s="1"/>
  <c r="AH53" s="1"/>
  <c r="C150"/>
  <c r="AB53" s="1"/>
  <c r="AF53" s="1"/>
  <c r="AG53" s="1"/>
  <c r="I149"/>
  <c r="D149"/>
  <c r="AD52" s="1"/>
  <c r="AH52" s="1"/>
  <c r="C149"/>
  <c r="AB52" s="1"/>
  <c r="AF52" s="1"/>
  <c r="AC85"/>
  <c r="C84"/>
  <c r="F83"/>
  <c r="F81" s="1"/>
  <c r="C82"/>
  <c r="AF81"/>
  <c r="B81"/>
  <c r="Z92"/>
  <c r="V92"/>
  <c r="F78"/>
  <c r="B78"/>
  <c r="F77"/>
  <c r="F76"/>
  <c r="F75"/>
  <c r="F74"/>
  <c r="F73"/>
  <c r="U72"/>
  <c r="AA72" s="1"/>
  <c r="T72"/>
  <c r="Z72" s="1"/>
  <c r="S72"/>
  <c r="R72"/>
  <c r="X72" s="1"/>
  <c r="Q72"/>
  <c r="W72" s="1"/>
  <c r="F72"/>
  <c r="Y85"/>
  <c r="AA85" s="1"/>
  <c r="X85"/>
  <c r="Z85" s="1"/>
  <c r="AZ71"/>
  <c r="AZ77" s="1"/>
  <c r="F71"/>
  <c r="AW70"/>
  <c r="F70"/>
  <c r="AW69"/>
  <c r="V77" s="1"/>
  <c r="AK69"/>
  <c r="J77" s="1"/>
  <c r="F69"/>
  <c r="V68"/>
  <c r="W68" s="1"/>
  <c r="P68"/>
  <c r="Q68" s="1"/>
  <c r="K68"/>
  <c r="F68"/>
  <c r="BC67"/>
  <c r="U67"/>
  <c r="AV67" s="1"/>
  <c r="T67"/>
  <c r="AU67" s="1"/>
  <c r="S67"/>
  <c r="AT67" s="1"/>
  <c r="R67"/>
  <c r="AS67" s="1"/>
  <c r="Q67"/>
  <c r="AR67" s="1"/>
  <c r="P67"/>
  <c r="AQ67" s="1"/>
  <c r="F67"/>
  <c r="BC66"/>
  <c r="U66"/>
  <c r="AV66" s="1"/>
  <c r="T66"/>
  <c r="AU66" s="1"/>
  <c r="S66"/>
  <c r="AT66" s="1"/>
  <c r="R66"/>
  <c r="AS66" s="1"/>
  <c r="Q66"/>
  <c r="AR66" s="1"/>
  <c r="P66"/>
  <c r="AQ66" s="1"/>
  <c r="F66"/>
  <c r="B66"/>
  <c r="AD65"/>
  <c r="AH65" s="1"/>
  <c r="AC65"/>
  <c r="AB65"/>
  <c r="U65"/>
  <c r="AV65" s="1"/>
  <c r="T65"/>
  <c r="AU65" s="1"/>
  <c r="S65"/>
  <c r="AT65" s="1"/>
  <c r="R65"/>
  <c r="AS65" s="1"/>
  <c r="Q65"/>
  <c r="AR65" s="1"/>
  <c r="P65"/>
  <c r="AQ65" s="1"/>
  <c r="B65"/>
  <c r="BC64"/>
  <c r="U64"/>
  <c r="AV64" s="1"/>
  <c r="T64"/>
  <c r="AU64" s="1"/>
  <c r="S64"/>
  <c r="AT64" s="1"/>
  <c r="R64"/>
  <c r="AS64" s="1"/>
  <c r="Q64"/>
  <c r="AR64" s="1"/>
  <c r="P64"/>
  <c r="AQ64" s="1"/>
  <c r="BC63"/>
  <c r="BB63"/>
  <c r="BA63"/>
  <c r="AZ63"/>
  <c r="AY63"/>
  <c r="AX63"/>
  <c r="AW63"/>
  <c r="AP63"/>
  <c r="AO63"/>
  <c r="AN63"/>
  <c r="AM63"/>
  <c r="AL63"/>
  <c r="AK63"/>
  <c r="U63"/>
  <c r="AV63" s="1"/>
  <c r="T63"/>
  <c r="AU63" s="1"/>
  <c r="S63"/>
  <c r="AT63" s="1"/>
  <c r="R63"/>
  <c r="AS63" s="1"/>
  <c r="Q63"/>
  <c r="AR63" s="1"/>
  <c r="P63"/>
  <c r="AQ63" s="1"/>
  <c r="BC62"/>
  <c r="BB62"/>
  <c r="BA62"/>
  <c r="AZ62"/>
  <c r="AY62"/>
  <c r="AX62"/>
  <c r="AW62"/>
  <c r="AP62"/>
  <c r="AO62"/>
  <c r="AN62"/>
  <c r="AM62"/>
  <c r="AL62"/>
  <c r="AK62"/>
  <c r="U62"/>
  <c r="AV62" s="1"/>
  <c r="T62"/>
  <c r="AU62" s="1"/>
  <c r="S62"/>
  <c r="AT62" s="1"/>
  <c r="R62"/>
  <c r="AS62" s="1"/>
  <c r="Q62"/>
  <c r="AR62" s="1"/>
  <c r="P62"/>
  <c r="AQ62" s="1"/>
  <c r="F62"/>
  <c r="BC61"/>
  <c r="BB61"/>
  <c r="BA61"/>
  <c r="AZ61"/>
  <c r="AY61"/>
  <c r="AX61"/>
  <c r="AW61"/>
  <c r="AP61"/>
  <c r="AO61"/>
  <c r="AN61"/>
  <c r="AM61"/>
  <c r="AL61"/>
  <c r="AK61"/>
  <c r="U61"/>
  <c r="AV61" s="1"/>
  <c r="T61"/>
  <c r="AU61" s="1"/>
  <c r="S61"/>
  <c r="AT61" s="1"/>
  <c r="R61"/>
  <c r="AS61" s="1"/>
  <c r="Q61"/>
  <c r="AR61" s="1"/>
  <c r="P61"/>
  <c r="AQ61" s="1"/>
  <c r="F61"/>
  <c r="BC60"/>
  <c r="BB60"/>
  <c r="BA60"/>
  <c r="AZ60"/>
  <c r="AY60"/>
  <c r="AX60"/>
  <c r="AW60"/>
  <c r="AP60"/>
  <c r="AO60"/>
  <c r="AN60"/>
  <c r="AM60"/>
  <c r="AL60"/>
  <c r="AK60"/>
  <c r="U60"/>
  <c r="AV60" s="1"/>
  <c r="T60"/>
  <c r="AU60" s="1"/>
  <c r="S60"/>
  <c r="AT60" s="1"/>
  <c r="R60"/>
  <c r="AS60" s="1"/>
  <c r="Q60"/>
  <c r="AR60" s="1"/>
  <c r="P60"/>
  <c r="AQ60" s="1"/>
  <c r="BC59"/>
  <c r="BB59"/>
  <c r="BA59"/>
  <c r="AZ59"/>
  <c r="AY59"/>
  <c r="AX59"/>
  <c r="AW59"/>
  <c r="AP59"/>
  <c r="AO59"/>
  <c r="AN59"/>
  <c r="AM59"/>
  <c r="AL59"/>
  <c r="AK59"/>
  <c r="U59"/>
  <c r="AV59" s="1"/>
  <c r="T59"/>
  <c r="AU59" s="1"/>
  <c r="S59"/>
  <c r="AT59" s="1"/>
  <c r="R59"/>
  <c r="AS59" s="1"/>
  <c r="Q59"/>
  <c r="AR59" s="1"/>
  <c r="P59"/>
  <c r="AQ59" s="1"/>
  <c r="F59"/>
  <c r="BK62"/>
  <c r="BC58"/>
  <c r="BB58"/>
  <c r="BA58"/>
  <c r="AZ58"/>
  <c r="AY58"/>
  <c r="AX58"/>
  <c r="AW58"/>
  <c r="AP58"/>
  <c r="AO58"/>
  <c r="AN58"/>
  <c r="AM58"/>
  <c r="AL58"/>
  <c r="AK58"/>
  <c r="U58"/>
  <c r="AV58" s="1"/>
  <c r="T58"/>
  <c r="AU58" s="1"/>
  <c r="S58"/>
  <c r="AT58" s="1"/>
  <c r="R58"/>
  <c r="AS58" s="1"/>
  <c r="Q58"/>
  <c r="AR58" s="1"/>
  <c r="P58"/>
  <c r="AQ58" s="1"/>
  <c r="BK61"/>
  <c r="BC57"/>
  <c r="BB57"/>
  <c r="BA57"/>
  <c r="AZ57"/>
  <c r="AY57"/>
  <c r="AX57"/>
  <c r="AW57"/>
  <c r="AP57"/>
  <c r="AO57"/>
  <c r="AN57"/>
  <c r="AM57"/>
  <c r="AL57"/>
  <c r="AK57"/>
  <c r="U57"/>
  <c r="AV57" s="1"/>
  <c r="T57"/>
  <c r="AU57" s="1"/>
  <c r="S57"/>
  <c r="AT57" s="1"/>
  <c r="R57"/>
  <c r="AS57" s="1"/>
  <c r="Q57"/>
  <c r="AR57" s="1"/>
  <c r="P57"/>
  <c r="AQ57" s="1"/>
  <c r="BK60"/>
  <c r="BC56"/>
  <c r="BB56"/>
  <c r="BA56"/>
  <c r="AZ56"/>
  <c r="AY56"/>
  <c r="AX56"/>
  <c r="AW56"/>
  <c r="AP56"/>
  <c r="AO56"/>
  <c r="AN56"/>
  <c r="AM56"/>
  <c r="AL56"/>
  <c r="AK56"/>
  <c r="U56"/>
  <c r="AV56" s="1"/>
  <c r="T56"/>
  <c r="AU56" s="1"/>
  <c r="S56"/>
  <c r="AT56" s="1"/>
  <c r="R56"/>
  <c r="AS56" s="1"/>
  <c r="Q56"/>
  <c r="AR56" s="1"/>
  <c r="P56"/>
  <c r="AQ56" s="1"/>
  <c r="BK59"/>
  <c r="BC55"/>
  <c r="BB55"/>
  <c r="BA55"/>
  <c r="AZ55"/>
  <c r="AY55"/>
  <c r="AX55"/>
  <c r="AW55"/>
  <c r="AP55"/>
  <c r="AO55"/>
  <c r="AN55"/>
  <c r="AM55"/>
  <c r="AL55"/>
  <c r="AK55"/>
  <c r="U55"/>
  <c r="AV55" s="1"/>
  <c r="T55"/>
  <c r="AU55" s="1"/>
  <c r="S55"/>
  <c r="AT55" s="1"/>
  <c r="R55"/>
  <c r="AS55" s="1"/>
  <c r="Q55"/>
  <c r="AR55" s="1"/>
  <c r="P55"/>
  <c r="AQ55" s="1"/>
  <c r="F55"/>
  <c r="BK58"/>
  <c r="BC54"/>
  <c r="BB54"/>
  <c r="BA54"/>
  <c r="AZ54"/>
  <c r="AY54"/>
  <c r="AX54"/>
  <c r="AW54"/>
  <c r="AP54"/>
  <c r="AO54"/>
  <c r="AN54"/>
  <c r="AM54"/>
  <c r="AL54"/>
  <c r="AK54"/>
  <c r="U54"/>
  <c r="AV54" s="1"/>
  <c r="T54"/>
  <c r="AU54" s="1"/>
  <c r="S54"/>
  <c r="AT54" s="1"/>
  <c r="R54"/>
  <c r="AS54" s="1"/>
  <c r="Q54"/>
  <c r="AR54" s="1"/>
  <c r="P54"/>
  <c r="AQ54" s="1"/>
  <c r="F54"/>
  <c r="BK57"/>
  <c r="BC53"/>
  <c r="BB53"/>
  <c r="BA53"/>
  <c r="AZ53"/>
  <c r="AY53"/>
  <c r="AX53"/>
  <c r="AW53"/>
  <c r="AP53"/>
  <c r="AO53"/>
  <c r="AN53"/>
  <c r="AM53"/>
  <c r="AL53"/>
  <c r="AK53"/>
  <c r="U53"/>
  <c r="AV53" s="1"/>
  <c r="T53"/>
  <c r="AU53" s="1"/>
  <c r="S53"/>
  <c r="AT53" s="1"/>
  <c r="R53"/>
  <c r="AS53" s="1"/>
  <c r="Q53"/>
  <c r="AR53" s="1"/>
  <c r="P53"/>
  <c r="AQ53" s="1"/>
  <c r="F53"/>
  <c r="BC52"/>
  <c r="BB52"/>
  <c r="BA52"/>
  <c r="AZ52"/>
  <c r="AY52"/>
  <c r="AX52"/>
  <c r="AW52"/>
  <c r="AP52"/>
  <c r="AO52"/>
  <c r="AN52"/>
  <c r="AM52"/>
  <c r="AL52"/>
  <c r="AK52"/>
  <c r="AC52"/>
  <c r="U52"/>
  <c r="AV52" s="1"/>
  <c r="T52"/>
  <c r="AU52" s="1"/>
  <c r="S52"/>
  <c r="AT52" s="1"/>
  <c r="R52"/>
  <c r="AS52" s="1"/>
  <c r="Q52"/>
  <c r="AR52" s="1"/>
  <c r="P52"/>
  <c r="AQ52" s="1"/>
  <c r="F52"/>
  <c r="B52"/>
  <c r="BC51"/>
  <c r="BB51"/>
  <c r="BA51"/>
  <c r="AZ51"/>
  <c r="AY51"/>
  <c r="AX51"/>
  <c r="AW51"/>
  <c r="AP51"/>
  <c r="AO51"/>
  <c r="AN51"/>
  <c r="AM51"/>
  <c r="AL51"/>
  <c r="AK51"/>
  <c r="U51"/>
  <c r="AV51" s="1"/>
  <c r="T51"/>
  <c r="AU51" s="1"/>
  <c r="S51"/>
  <c r="AT51" s="1"/>
  <c r="R51"/>
  <c r="AS51" s="1"/>
  <c r="Q51"/>
  <c r="AR51" s="1"/>
  <c r="P51"/>
  <c r="AQ51" s="1"/>
  <c r="BC50"/>
  <c r="BB50"/>
  <c r="BA50"/>
  <c r="AZ50"/>
  <c r="AY50"/>
  <c r="AX50"/>
  <c r="AW50"/>
  <c r="AP50"/>
  <c r="AO50"/>
  <c r="AN50"/>
  <c r="AM50"/>
  <c r="AL50"/>
  <c r="AK50"/>
  <c r="U50"/>
  <c r="AV50" s="1"/>
  <c r="T50"/>
  <c r="AU50" s="1"/>
  <c r="S50"/>
  <c r="AT50" s="1"/>
  <c r="R50"/>
  <c r="AS50" s="1"/>
  <c r="Q50"/>
  <c r="AR50" s="1"/>
  <c r="P50"/>
  <c r="AQ50" s="1"/>
  <c r="BC49"/>
  <c r="BB49"/>
  <c r="BA49"/>
  <c r="AZ49"/>
  <c r="AY49"/>
  <c r="AX49"/>
  <c r="AW49"/>
  <c r="AP49"/>
  <c r="AO49"/>
  <c r="AN49"/>
  <c r="AM49"/>
  <c r="AL49"/>
  <c r="AK49"/>
  <c r="U49"/>
  <c r="AV49" s="1"/>
  <c r="T49"/>
  <c r="AU49" s="1"/>
  <c r="S49"/>
  <c r="AT49" s="1"/>
  <c r="R49"/>
  <c r="AS49" s="1"/>
  <c r="Q49"/>
  <c r="AR49" s="1"/>
  <c r="P49"/>
  <c r="AQ49" s="1"/>
  <c r="F49"/>
  <c r="B49"/>
  <c r="BC48"/>
  <c r="BB48"/>
  <c r="BA48"/>
  <c r="AZ48"/>
  <c r="AY48"/>
  <c r="AX48"/>
  <c r="AW48"/>
  <c r="AP48"/>
  <c r="AO48"/>
  <c r="AN48"/>
  <c r="AM48"/>
  <c r="AL48"/>
  <c r="AK48"/>
  <c r="AE48"/>
  <c r="AI48" s="1"/>
  <c r="AD48"/>
  <c r="AH48" s="1"/>
  <c r="AC48"/>
  <c r="AB48"/>
  <c r="AF48" s="1"/>
  <c r="U48"/>
  <c r="AV48" s="1"/>
  <c r="T48"/>
  <c r="AU48" s="1"/>
  <c r="S48"/>
  <c r="AT48" s="1"/>
  <c r="R48"/>
  <c r="AS48" s="1"/>
  <c r="Q48"/>
  <c r="AR48" s="1"/>
  <c r="P48"/>
  <c r="AQ48" s="1"/>
  <c r="F48"/>
  <c r="B48"/>
  <c r="BC47"/>
  <c r="BB47"/>
  <c r="BA47"/>
  <c r="AZ47"/>
  <c r="AY47"/>
  <c r="AX47"/>
  <c r="AW47"/>
  <c r="AP47"/>
  <c r="AO47"/>
  <c r="AN47"/>
  <c r="AM47"/>
  <c r="AL47"/>
  <c r="AK47"/>
  <c r="U47"/>
  <c r="AV47" s="1"/>
  <c r="T47"/>
  <c r="AU47" s="1"/>
  <c r="S47"/>
  <c r="AT47" s="1"/>
  <c r="R47"/>
  <c r="AS47" s="1"/>
  <c r="Q47"/>
  <c r="AR47" s="1"/>
  <c r="P47"/>
  <c r="AQ47" s="1"/>
  <c r="BC46"/>
  <c r="BB46"/>
  <c r="BA46"/>
  <c r="AZ46"/>
  <c r="AY46"/>
  <c r="AX46"/>
  <c r="AW46"/>
  <c r="AP46"/>
  <c r="AO46"/>
  <c r="AN46"/>
  <c r="AM46"/>
  <c r="AL46"/>
  <c r="AK46"/>
  <c r="U46"/>
  <c r="AV46" s="1"/>
  <c r="T46"/>
  <c r="AU46" s="1"/>
  <c r="S46"/>
  <c r="AT46" s="1"/>
  <c r="R46"/>
  <c r="AS46" s="1"/>
  <c r="Q46"/>
  <c r="AR46" s="1"/>
  <c r="P46"/>
  <c r="AQ46" s="1"/>
  <c r="BC45"/>
  <c r="BB45"/>
  <c r="BA45"/>
  <c r="AZ45"/>
  <c r="AY45"/>
  <c r="AX45"/>
  <c r="AW45"/>
  <c r="AP45"/>
  <c r="AO45"/>
  <c r="AN45"/>
  <c r="AM45"/>
  <c r="AL45"/>
  <c r="AK45"/>
  <c r="U45"/>
  <c r="AV45" s="1"/>
  <c r="T45"/>
  <c r="AU45" s="1"/>
  <c r="S45"/>
  <c r="AT45" s="1"/>
  <c r="R45"/>
  <c r="AS45" s="1"/>
  <c r="Q45"/>
  <c r="AR45" s="1"/>
  <c r="P45"/>
  <c r="AQ45" s="1"/>
  <c r="F45"/>
  <c r="B45"/>
  <c r="BC44"/>
  <c r="BB44"/>
  <c r="BA44"/>
  <c r="AZ44"/>
  <c r="AY44"/>
  <c r="AX44"/>
  <c r="AW44"/>
  <c r="AP44"/>
  <c r="AO44"/>
  <c r="AN44"/>
  <c r="AM44"/>
  <c r="AL44"/>
  <c r="AK44"/>
  <c r="U44"/>
  <c r="AV44" s="1"/>
  <c r="T44"/>
  <c r="AU44" s="1"/>
  <c r="S44"/>
  <c r="AT44" s="1"/>
  <c r="R44"/>
  <c r="AS44" s="1"/>
  <c r="Q44"/>
  <c r="AR44" s="1"/>
  <c r="P44"/>
  <c r="AQ44" s="1"/>
  <c r="F44"/>
  <c r="B44"/>
  <c r="BC43"/>
  <c r="BB43"/>
  <c r="BA43"/>
  <c r="AZ43"/>
  <c r="AY43"/>
  <c r="AX43"/>
  <c r="AW43"/>
  <c r="AP43"/>
  <c r="AO43"/>
  <c r="AN43"/>
  <c r="AM43"/>
  <c r="AL43"/>
  <c r="AK43"/>
  <c r="U43"/>
  <c r="AV43" s="1"/>
  <c r="T43"/>
  <c r="AU43" s="1"/>
  <c r="S43"/>
  <c r="AT43" s="1"/>
  <c r="R43"/>
  <c r="AS43" s="1"/>
  <c r="Q43"/>
  <c r="AR43" s="1"/>
  <c r="P43"/>
  <c r="AQ43" s="1"/>
  <c r="F43"/>
  <c r="B43"/>
  <c r="BC42"/>
  <c r="BB42"/>
  <c r="BA42"/>
  <c r="AZ42"/>
  <c r="AY42"/>
  <c r="AX42"/>
  <c r="AW42"/>
  <c r="AP42"/>
  <c r="AO42"/>
  <c r="AN42"/>
  <c r="AM42"/>
  <c r="AL42"/>
  <c r="AK42"/>
  <c r="AE42"/>
  <c r="AI42" s="1"/>
  <c r="AD42"/>
  <c r="AH42" s="1"/>
  <c r="AC42"/>
  <c r="AB42"/>
  <c r="AF42" s="1"/>
  <c r="U42"/>
  <c r="AV42" s="1"/>
  <c r="T42"/>
  <c r="AU42" s="1"/>
  <c r="S42"/>
  <c r="AT42" s="1"/>
  <c r="R42"/>
  <c r="AS42" s="1"/>
  <c r="Q42"/>
  <c r="AR42" s="1"/>
  <c r="P42"/>
  <c r="AQ42" s="1"/>
  <c r="F42"/>
  <c r="B42"/>
  <c r="BC41"/>
  <c r="BB41"/>
  <c r="BA41"/>
  <c r="AZ41"/>
  <c r="AY41"/>
  <c r="AX41"/>
  <c r="AW41"/>
  <c r="AP41"/>
  <c r="AO41"/>
  <c r="AN41"/>
  <c r="AM41"/>
  <c r="AL41"/>
  <c r="AK41"/>
  <c r="U41"/>
  <c r="AV41" s="1"/>
  <c r="T41"/>
  <c r="AU41" s="1"/>
  <c r="S41"/>
  <c r="AT41" s="1"/>
  <c r="R41"/>
  <c r="AS41" s="1"/>
  <c r="Q41"/>
  <c r="AR41" s="1"/>
  <c r="P41"/>
  <c r="AQ41" s="1"/>
  <c r="BJ42"/>
  <c r="BI42" s="1"/>
  <c r="BC40"/>
  <c r="BB40"/>
  <c r="BA40"/>
  <c r="AZ40"/>
  <c r="AY40"/>
  <c r="AX40"/>
  <c r="AW40"/>
  <c r="AP40"/>
  <c r="AO40"/>
  <c r="AN40"/>
  <c r="AM40"/>
  <c r="AL40"/>
  <c r="AK40"/>
  <c r="U40"/>
  <c r="AV40" s="1"/>
  <c r="T40"/>
  <c r="AU40" s="1"/>
  <c r="S40"/>
  <c r="AT40" s="1"/>
  <c r="R40"/>
  <c r="AS40" s="1"/>
  <c r="Q40"/>
  <c r="AR40" s="1"/>
  <c r="P40"/>
  <c r="AQ40" s="1"/>
  <c r="BJ41"/>
  <c r="BI41" s="1"/>
  <c r="BC39"/>
  <c r="BB39"/>
  <c r="BA39"/>
  <c r="AZ39"/>
  <c r="AY39"/>
  <c r="AX39"/>
  <c r="AW39"/>
  <c r="AP39"/>
  <c r="AO39"/>
  <c r="AN39"/>
  <c r="AM39"/>
  <c r="AL39"/>
  <c r="AK39"/>
  <c r="U39"/>
  <c r="AV39" s="1"/>
  <c r="T39"/>
  <c r="AU39" s="1"/>
  <c r="S39"/>
  <c r="AT39" s="1"/>
  <c r="R39"/>
  <c r="AS39" s="1"/>
  <c r="Q39"/>
  <c r="AR39" s="1"/>
  <c r="P39"/>
  <c r="AQ39" s="1"/>
  <c r="F39"/>
  <c r="BJ40"/>
  <c r="BI40" s="1"/>
  <c r="BC38"/>
  <c r="BB38"/>
  <c r="BA38"/>
  <c r="AZ38"/>
  <c r="AY38"/>
  <c r="AX38"/>
  <c r="AW38"/>
  <c r="AP38"/>
  <c r="AO38"/>
  <c r="AN38"/>
  <c r="AM38"/>
  <c r="AL38"/>
  <c r="AK38"/>
  <c r="U38"/>
  <c r="AV38" s="1"/>
  <c r="T38"/>
  <c r="AU38" s="1"/>
  <c r="S38"/>
  <c r="AT38" s="1"/>
  <c r="R38"/>
  <c r="AS38" s="1"/>
  <c r="Q38"/>
  <c r="AR38" s="1"/>
  <c r="AQ38"/>
  <c r="F38"/>
  <c r="BJ39"/>
  <c r="BI39" s="1"/>
  <c r="BC37"/>
  <c r="BB37"/>
  <c r="BA37"/>
  <c r="AZ37"/>
  <c r="AY37"/>
  <c r="AX37"/>
  <c r="AW37"/>
  <c r="AP37"/>
  <c r="AO37"/>
  <c r="AN37"/>
  <c r="AM37"/>
  <c r="AL37"/>
  <c r="AK37"/>
  <c r="U37"/>
  <c r="AV37" s="1"/>
  <c r="T37"/>
  <c r="AU37" s="1"/>
  <c r="S37"/>
  <c r="AT37" s="1"/>
  <c r="R37"/>
  <c r="AS37" s="1"/>
  <c r="Q37"/>
  <c r="AR37" s="1"/>
  <c r="P37"/>
  <c r="AQ37" s="1"/>
  <c r="F37"/>
  <c r="BJ38"/>
  <c r="BI38" s="1"/>
  <c r="BC36"/>
  <c r="BB36"/>
  <c r="BA36"/>
  <c r="AZ36"/>
  <c r="AY36"/>
  <c r="AX36"/>
  <c r="AW36"/>
  <c r="AP36"/>
  <c r="AO36"/>
  <c r="AN36"/>
  <c r="AM36"/>
  <c r="AL36"/>
  <c r="AK36"/>
  <c r="U36"/>
  <c r="AV36" s="1"/>
  <c r="T36"/>
  <c r="AU36" s="1"/>
  <c r="S36"/>
  <c r="AT36" s="1"/>
  <c r="R36"/>
  <c r="AS36" s="1"/>
  <c r="Q36"/>
  <c r="AR36" s="1"/>
  <c r="P36"/>
  <c r="AQ36" s="1"/>
  <c r="F36"/>
  <c r="BJ37"/>
  <c r="BI37" s="1"/>
  <c r="BC35"/>
  <c r="BB35"/>
  <c r="BA35"/>
  <c r="AZ35"/>
  <c r="AY35"/>
  <c r="AX35"/>
  <c r="AW35"/>
  <c r="AP35"/>
  <c r="AO35"/>
  <c r="AN35"/>
  <c r="AM35"/>
  <c r="AL35"/>
  <c r="AK35"/>
  <c r="U35"/>
  <c r="AV35" s="1"/>
  <c r="T35"/>
  <c r="AU35" s="1"/>
  <c r="S35"/>
  <c r="AT35" s="1"/>
  <c r="R35"/>
  <c r="AS35" s="1"/>
  <c r="Q35"/>
  <c r="AR35" s="1"/>
  <c r="P35"/>
  <c r="AQ35" s="1"/>
  <c r="B35"/>
  <c r="BC34"/>
  <c r="BB34"/>
  <c r="BA34"/>
  <c r="AZ34"/>
  <c r="AY34"/>
  <c r="AX34"/>
  <c r="AW34"/>
  <c r="AP34"/>
  <c r="AO34"/>
  <c r="AN34"/>
  <c r="AM34"/>
  <c r="AL34"/>
  <c r="AK34"/>
  <c r="AD34"/>
  <c r="AH34" s="1"/>
  <c r="AC34"/>
  <c r="AB34"/>
  <c r="AF34" s="1"/>
  <c r="U34"/>
  <c r="AV34" s="1"/>
  <c r="T34"/>
  <c r="AU34" s="1"/>
  <c r="S34"/>
  <c r="AT34" s="1"/>
  <c r="R34"/>
  <c r="AS34" s="1"/>
  <c r="Q34"/>
  <c r="AR34" s="1"/>
  <c r="P34"/>
  <c r="AQ34" s="1"/>
  <c r="B34"/>
  <c r="BC33"/>
  <c r="BB33"/>
  <c r="BA33"/>
  <c r="AZ33"/>
  <c r="AY33"/>
  <c r="AX33"/>
  <c r="AW33"/>
  <c r="AP33"/>
  <c r="AO33"/>
  <c r="AN33"/>
  <c r="AM33"/>
  <c r="AL33"/>
  <c r="AK33"/>
  <c r="U33"/>
  <c r="AV33" s="1"/>
  <c r="T33"/>
  <c r="AU33" s="1"/>
  <c r="S33"/>
  <c r="AT33" s="1"/>
  <c r="R33"/>
  <c r="AS33" s="1"/>
  <c r="Q33"/>
  <c r="AR33" s="1"/>
  <c r="P33"/>
  <c r="AQ33" s="1"/>
  <c r="BJ33"/>
  <c r="BI33"/>
  <c r="BC32"/>
  <c r="BB32"/>
  <c r="BA32"/>
  <c r="AZ32"/>
  <c r="AY32"/>
  <c r="AX32"/>
  <c r="AW32"/>
  <c r="AP32"/>
  <c r="AO32"/>
  <c r="AN32"/>
  <c r="AM32"/>
  <c r="AL32"/>
  <c r="AK32"/>
  <c r="U32"/>
  <c r="AV32" s="1"/>
  <c r="T32"/>
  <c r="AU32" s="1"/>
  <c r="S32"/>
  <c r="AT32" s="1"/>
  <c r="R32"/>
  <c r="AS32" s="1"/>
  <c r="Q32"/>
  <c r="AR32" s="1"/>
  <c r="P32"/>
  <c r="AQ32" s="1"/>
  <c r="BJ32"/>
  <c r="BI32"/>
  <c r="BC31"/>
  <c r="BB31"/>
  <c r="BA31"/>
  <c r="AZ31"/>
  <c r="AY31"/>
  <c r="AX31"/>
  <c r="AW31"/>
  <c r="AP31"/>
  <c r="AO31"/>
  <c r="AN31"/>
  <c r="AM31"/>
  <c r="AL31"/>
  <c r="AK31"/>
  <c r="U31"/>
  <c r="AV31" s="1"/>
  <c r="T31"/>
  <c r="AU31" s="1"/>
  <c r="S31"/>
  <c r="AT31" s="1"/>
  <c r="R31"/>
  <c r="AS31" s="1"/>
  <c r="Q31"/>
  <c r="AR31" s="1"/>
  <c r="P31"/>
  <c r="AQ31" s="1"/>
  <c r="F31"/>
  <c r="B31"/>
  <c r="BJ31"/>
  <c r="BI31"/>
  <c r="BC30"/>
  <c r="BB30"/>
  <c r="BA30"/>
  <c r="AZ30"/>
  <c r="AY30"/>
  <c r="AX30"/>
  <c r="AW30"/>
  <c r="AP30"/>
  <c r="AO30"/>
  <c r="AN30"/>
  <c r="AM30"/>
  <c r="AL30"/>
  <c r="AK30"/>
  <c r="U30"/>
  <c r="AV30" s="1"/>
  <c r="T30"/>
  <c r="AU30" s="1"/>
  <c r="S30"/>
  <c r="AT30" s="1"/>
  <c r="R30"/>
  <c r="AS30" s="1"/>
  <c r="Q30"/>
  <c r="AR30" s="1"/>
  <c r="P30"/>
  <c r="AQ30" s="1"/>
  <c r="F30"/>
  <c r="B30"/>
  <c r="BJ30"/>
  <c r="BI30"/>
  <c r="BC29"/>
  <c r="BB29"/>
  <c r="BA29"/>
  <c r="AZ29"/>
  <c r="AY29"/>
  <c r="AX29"/>
  <c r="AW29"/>
  <c r="AP29"/>
  <c r="AO29"/>
  <c r="AN29"/>
  <c r="AM29"/>
  <c r="AL29"/>
  <c r="AK29"/>
  <c r="U29"/>
  <c r="AV29" s="1"/>
  <c r="T29"/>
  <c r="AU29" s="1"/>
  <c r="S29"/>
  <c r="AT29" s="1"/>
  <c r="R29"/>
  <c r="AS29" s="1"/>
  <c r="Q29"/>
  <c r="AR29" s="1"/>
  <c r="P29"/>
  <c r="AQ29" s="1"/>
  <c r="F29"/>
  <c r="B29"/>
  <c r="BJ29"/>
  <c r="BI29"/>
  <c r="BC28"/>
  <c r="BB28"/>
  <c r="BA28"/>
  <c r="AZ28"/>
  <c r="AY28"/>
  <c r="AX28"/>
  <c r="AW28"/>
  <c r="AP28"/>
  <c r="AO28"/>
  <c r="AN28"/>
  <c r="AM28"/>
  <c r="AL28"/>
  <c r="AK28"/>
  <c r="U28"/>
  <c r="AV28" s="1"/>
  <c r="T28"/>
  <c r="AU28" s="1"/>
  <c r="S28"/>
  <c r="AT28" s="1"/>
  <c r="R28"/>
  <c r="AS28" s="1"/>
  <c r="Q28"/>
  <c r="AR28" s="1"/>
  <c r="P28"/>
  <c r="AQ28" s="1"/>
  <c r="F28"/>
  <c r="B28"/>
  <c r="BJ28"/>
  <c r="BI28"/>
  <c r="BC27"/>
  <c r="BB27"/>
  <c r="BA27"/>
  <c r="AZ27"/>
  <c r="AY27"/>
  <c r="AX27"/>
  <c r="AW27"/>
  <c r="AP27"/>
  <c r="AO27"/>
  <c r="AN27"/>
  <c r="AM27"/>
  <c r="AL27"/>
  <c r="AK27"/>
  <c r="U27"/>
  <c r="AV27" s="1"/>
  <c r="T27"/>
  <c r="AU27" s="1"/>
  <c r="S27"/>
  <c r="AT27" s="1"/>
  <c r="R27"/>
  <c r="AS27" s="1"/>
  <c r="Q27"/>
  <c r="AR27" s="1"/>
  <c r="P27"/>
  <c r="F27"/>
  <c r="B27"/>
  <c r="F26"/>
  <c r="B26"/>
  <c r="AD25"/>
  <c r="AH25" s="1"/>
  <c r="AC25"/>
  <c r="AB25"/>
  <c r="AF25" s="1"/>
  <c r="F25"/>
  <c r="B25"/>
  <c r="BI24"/>
  <c r="BJ24" s="1"/>
  <c r="BI23"/>
  <c r="BJ23" s="1"/>
  <c r="BI22"/>
  <c r="BJ22" s="1"/>
  <c r="BI21"/>
  <c r="BJ21" s="1"/>
  <c r="BI20"/>
  <c r="BJ20" s="1"/>
  <c r="BF20"/>
  <c r="BD20"/>
  <c r="BI19"/>
  <c r="BJ19" s="1"/>
  <c r="R20"/>
  <c r="P20"/>
  <c r="I13"/>
  <c r="N20"/>
  <c r="L20"/>
  <c r="AB9"/>
  <c r="D4"/>
  <c r="F60" l="1"/>
  <c r="F34"/>
  <c r="F57"/>
  <c r="AE70"/>
  <c r="AF70"/>
  <c r="AG70" s="1"/>
  <c r="K63" i="37"/>
  <c r="L62"/>
  <c r="M62" s="1"/>
  <c r="F56" i="36"/>
  <c r="G71"/>
  <c r="H11"/>
  <c r="I11" s="1"/>
  <c r="E49"/>
  <c r="E45"/>
  <c r="AE65"/>
  <c r="AY68"/>
  <c r="F35"/>
  <c r="F58"/>
  <c r="G67"/>
  <c r="AQ69"/>
  <c r="P77" s="1"/>
  <c r="P71" s="1"/>
  <c r="T74" s="1"/>
  <c r="AG52"/>
  <c r="F65"/>
  <c r="AM68"/>
  <c r="E43"/>
  <c r="AG34"/>
  <c r="G62"/>
  <c r="AH81"/>
  <c r="D15" s="1"/>
  <c r="AU68"/>
  <c r="AR68"/>
  <c r="AT68"/>
  <c r="AL68"/>
  <c r="AP68"/>
  <c r="AX68"/>
  <c r="BB68"/>
  <c r="G77"/>
  <c r="AK68"/>
  <c r="AO68"/>
  <c r="AW68"/>
  <c r="BA68"/>
  <c r="G52"/>
  <c r="AF65"/>
  <c r="AG65" s="1"/>
  <c r="V71"/>
  <c r="Y74" s="1"/>
  <c r="AN68"/>
  <c r="AZ68"/>
  <c r="E42"/>
  <c r="E44"/>
  <c r="E48"/>
  <c r="AZ74"/>
  <c r="V88" s="1"/>
  <c r="AZ73"/>
  <c r="V87" s="1"/>
  <c r="AZ76"/>
  <c r="V90" s="1"/>
  <c r="G26"/>
  <c r="G27"/>
  <c r="G25"/>
  <c r="AG25"/>
  <c r="G30"/>
  <c r="AG42"/>
  <c r="G42"/>
  <c r="G44"/>
  <c r="AG48"/>
  <c r="G48"/>
  <c r="AS68"/>
  <c r="AV68"/>
  <c r="G29"/>
  <c r="G78"/>
  <c r="G28"/>
  <c r="G43"/>
  <c r="G45"/>
  <c r="G31"/>
  <c r="G49"/>
  <c r="BB71"/>
  <c r="BB77" s="1"/>
  <c r="AQ27"/>
  <c r="AQ68" s="1"/>
  <c r="AZ72"/>
  <c r="V91"/>
  <c r="W91" s="1"/>
  <c r="G36"/>
  <c r="G37"/>
  <c r="G38"/>
  <c r="G39"/>
  <c r="G53"/>
  <c r="G54"/>
  <c r="G55"/>
  <c r="G59"/>
  <c r="G61"/>
  <c r="BA71"/>
  <c r="BA77" s="1"/>
  <c r="AZ75"/>
  <c r="G56" i="5"/>
  <c r="H56"/>
  <c r="G57"/>
  <c r="H57"/>
  <c r="G58"/>
  <c r="H58"/>
  <c r="G59"/>
  <c r="H59"/>
  <c r="G60"/>
  <c r="H60"/>
  <c r="G61"/>
  <c r="H61"/>
  <c r="G62"/>
  <c r="H62"/>
  <c r="G63"/>
  <c r="H63"/>
  <c r="G35"/>
  <c r="H35"/>
  <c r="G36"/>
  <c r="H36"/>
  <c r="G37"/>
  <c r="H37"/>
  <c r="G38"/>
  <c r="H38"/>
  <c r="G39"/>
  <c r="H39"/>
  <c r="G40"/>
  <c r="H40"/>
  <c r="G41"/>
  <c r="H41"/>
  <c r="G42"/>
  <c r="H42"/>
  <c r="G43"/>
  <c r="H43"/>
  <c r="G44"/>
  <c r="H44"/>
  <c r="G45"/>
  <c r="H45"/>
  <c r="G46"/>
  <c r="H46"/>
  <c r="G47"/>
  <c r="H47"/>
  <c r="G48"/>
  <c r="H48"/>
  <c r="G49"/>
  <c r="H49"/>
  <c r="G50"/>
  <c r="H50"/>
  <c r="G51"/>
  <c r="H51"/>
  <c r="G52"/>
  <c r="H52"/>
  <c r="G53"/>
  <c r="H53"/>
  <c r="G54"/>
  <c r="H54"/>
  <c r="G55"/>
  <c r="H55"/>
  <c r="AT55" s="1"/>
  <c r="B59"/>
  <c r="B60"/>
  <c r="B61"/>
  <c r="B50"/>
  <c r="B51"/>
  <c r="B52"/>
  <c r="B53"/>
  <c r="B54"/>
  <c r="B55"/>
  <c r="B56"/>
  <c r="B57"/>
  <c r="B47"/>
  <c r="B48"/>
  <c r="B34"/>
  <c r="B35"/>
  <c r="B36"/>
  <c r="B37"/>
  <c r="B38"/>
  <c r="B39"/>
  <c r="B40"/>
  <c r="B41"/>
  <c r="B42"/>
  <c r="B43"/>
  <c r="B44"/>
  <c r="B45"/>
  <c r="B46"/>
  <c r="B32"/>
  <c r="B33"/>
  <c r="AQ62" l="1"/>
  <c r="AE62"/>
  <c r="AP62"/>
  <c r="AT62"/>
  <c r="AD62"/>
  <c r="AH62"/>
  <c r="AO62"/>
  <c r="AS62"/>
  <c r="AC62"/>
  <c r="AG62"/>
  <c r="AR62"/>
  <c r="AF62"/>
  <c r="AQ60"/>
  <c r="AE60"/>
  <c r="AP60"/>
  <c r="AT60"/>
  <c r="AD60"/>
  <c r="AH60"/>
  <c r="AO60"/>
  <c r="AS60"/>
  <c r="AC60"/>
  <c r="AG60"/>
  <c r="AR60"/>
  <c r="AF60"/>
  <c r="AR58"/>
  <c r="AQ58"/>
  <c r="AE58"/>
  <c r="AP58"/>
  <c r="AT58"/>
  <c r="AD58"/>
  <c r="AH58"/>
  <c r="AO58"/>
  <c r="AS58"/>
  <c r="AC58"/>
  <c r="AG58"/>
  <c r="AF58"/>
  <c r="AE56"/>
  <c r="AD56"/>
  <c r="AH56"/>
  <c r="AC56"/>
  <c r="AG56"/>
  <c r="AF56"/>
  <c r="AT54"/>
  <c r="AD54"/>
  <c r="AC54"/>
  <c r="AG54"/>
  <c r="AO54"/>
  <c r="AS54"/>
  <c r="AF54"/>
  <c r="AR54"/>
  <c r="AE54"/>
  <c r="AQ54"/>
  <c r="AH54"/>
  <c r="AP54"/>
  <c r="AO63"/>
  <c r="AS63"/>
  <c r="AC63"/>
  <c r="AG63"/>
  <c r="AR63"/>
  <c r="AF63"/>
  <c r="AQ63"/>
  <c r="AE63"/>
  <c r="AP63"/>
  <c r="AT63"/>
  <c r="AD63"/>
  <c r="AH63"/>
  <c r="AO61"/>
  <c r="AS61"/>
  <c r="AC61"/>
  <c r="AG61"/>
  <c r="AR61"/>
  <c r="AF61"/>
  <c r="AQ61"/>
  <c r="AE61"/>
  <c r="AP61"/>
  <c r="AT61"/>
  <c r="AD61"/>
  <c r="AH61"/>
  <c r="AO59"/>
  <c r="AS59"/>
  <c r="AC59"/>
  <c r="AG59"/>
  <c r="AR59"/>
  <c r="AF59"/>
  <c r="AQ59"/>
  <c r="AE59"/>
  <c r="AP59"/>
  <c r="AT59"/>
  <c r="AD59"/>
  <c r="AH59"/>
  <c r="AC57"/>
  <c r="AG57"/>
  <c r="AF57"/>
  <c r="AE57"/>
  <c r="AD57"/>
  <c r="AH57"/>
  <c r="L63" i="37"/>
  <c r="M63" s="1"/>
  <c r="K64"/>
  <c r="T73" i="36"/>
  <c r="T75" s="1"/>
  <c r="P74"/>
  <c r="P73" s="1"/>
  <c r="P75" s="1"/>
  <c r="G73"/>
  <c r="G76"/>
  <c r="AA74"/>
  <c r="AA73" s="1"/>
  <c r="AA75" s="1"/>
  <c r="G75"/>
  <c r="Z74"/>
  <c r="Z73" s="1"/>
  <c r="Z75" s="1"/>
  <c r="U74"/>
  <c r="U73" s="1"/>
  <c r="U75" s="1"/>
  <c r="F85"/>
  <c r="V74"/>
  <c r="V73" s="1"/>
  <c r="V75" s="1"/>
  <c r="W74"/>
  <c r="W73" s="1"/>
  <c r="W75" s="1"/>
  <c r="X74"/>
  <c r="X73" s="1"/>
  <c r="X75" s="1"/>
  <c r="G69"/>
  <c r="W87"/>
  <c r="G68"/>
  <c r="Q74"/>
  <c r="Q73" s="1"/>
  <c r="Q75" s="1"/>
  <c r="S74"/>
  <c r="S73" s="1"/>
  <c r="S75" s="1"/>
  <c r="C15"/>
  <c r="AE79"/>
  <c r="C79" s="1"/>
  <c r="W90"/>
  <c r="Y73"/>
  <c r="Y75" s="1"/>
  <c r="R74"/>
  <c r="R73" s="1"/>
  <c r="R75" s="1"/>
  <c r="W88"/>
  <c r="V89"/>
  <c r="W89" s="1"/>
  <c r="V86"/>
  <c r="W86" s="1"/>
  <c r="G66"/>
  <c r="BB72"/>
  <c r="BB76"/>
  <c r="BB73"/>
  <c r="Z91"/>
  <c r="AA91" s="1"/>
  <c r="BB74"/>
  <c r="BB75"/>
  <c r="J71"/>
  <c r="X91"/>
  <c r="Y91" s="1"/>
  <c r="BA76"/>
  <c r="BA73"/>
  <c r="BA74"/>
  <c r="BA75"/>
  <c r="BA72"/>
  <c r="G70"/>
  <c r="AF84"/>
  <c r="AF89"/>
  <c r="G74"/>
  <c r="G72"/>
  <c r="D79"/>
  <c r="AF88"/>
  <c r="AF82"/>
  <c r="G57" l="1"/>
  <c r="G60"/>
  <c r="G56"/>
  <c r="G34"/>
  <c r="X77"/>
  <c r="V78" s="1"/>
  <c r="V76"/>
  <c r="P76"/>
  <c r="U77"/>
  <c r="D13" s="1"/>
  <c r="R77"/>
  <c r="K65" i="37"/>
  <c r="L64"/>
  <c r="M64" s="1"/>
  <c r="AF85" i="36"/>
  <c r="AF91" s="1"/>
  <c r="H9" s="1"/>
  <c r="C8"/>
  <c r="X86"/>
  <c r="Y86" s="1"/>
  <c r="X87"/>
  <c r="Y87" s="1"/>
  <c r="AF86"/>
  <c r="AF90" s="1"/>
  <c r="O74"/>
  <c r="O73" s="1"/>
  <c r="O75" s="1"/>
  <c r="K74"/>
  <c r="K73" s="1"/>
  <c r="K75" s="1"/>
  <c r="L74"/>
  <c r="L73" s="1"/>
  <c r="L75" s="1"/>
  <c r="M74"/>
  <c r="M73" s="1"/>
  <c r="M75" s="1"/>
  <c r="N74"/>
  <c r="N73" s="1"/>
  <c r="N75" s="1"/>
  <c r="J74"/>
  <c r="J73" s="1"/>
  <c r="J75" s="1"/>
  <c r="Z88"/>
  <c r="AA88" s="1"/>
  <c r="Z86"/>
  <c r="AA86" s="1"/>
  <c r="H8"/>
  <c r="X88"/>
  <c r="Y88" s="1"/>
  <c r="Z90"/>
  <c r="AA90" s="1"/>
  <c r="G81"/>
  <c r="G83"/>
  <c r="G35"/>
  <c r="G58"/>
  <c r="G65"/>
  <c r="X89"/>
  <c r="Y89" s="1"/>
  <c r="X90"/>
  <c r="Y90" s="1"/>
  <c r="Z89"/>
  <c r="AA89" s="1"/>
  <c r="Z87"/>
  <c r="AA87" s="1"/>
  <c r="AA77"/>
  <c r="D14" s="1"/>
  <c r="O77" l="1"/>
  <c r="D12" s="1"/>
  <c r="G88"/>
  <c r="C88"/>
  <c r="K66" i="37"/>
  <c r="L65"/>
  <c r="M65" s="1"/>
  <c r="C14" i="36"/>
  <c r="G85"/>
  <c r="AC9"/>
  <c r="H10"/>
  <c r="AC8"/>
  <c r="L77"/>
  <c r="J78" s="1"/>
  <c r="J76"/>
  <c r="C9"/>
  <c r="C10" s="1"/>
  <c r="P78"/>
  <c r="C13"/>
  <c r="L66" i="37" l="1"/>
  <c r="M66" s="1"/>
  <c r="K67"/>
  <c r="L67" s="1"/>
  <c r="M67" s="1"/>
  <c r="C12" i="36"/>
  <c r="M12"/>
  <c r="M14" s="1"/>
  <c r="O12"/>
  <c r="O14" s="1"/>
  <c r="Q12"/>
  <c r="Q14" s="1"/>
  <c r="Q15"/>
  <c r="M15"/>
  <c r="O15"/>
  <c r="O11"/>
  <c r="Q11"/>
  <c r="M11"/>
  <c r="M13" l="1"/>
  <c r="O13"/>
  <c r="Q13"/>
  <c r="G34" i="5" l="1"/>
  <c r="AD47" i="4" l="1"/>
  <c r="AD44"/>
  <c r="AW190" i="38" l="1"/>
  <c r="AZ190" s="1"/>
  <c r="AH115"/>
  <c r="AK115" s="1"/>
  <c r="AH73"/>
  <c r="AK73" s="1"/>
  <c r="AG31"/>
  <c r="AH112"/>
  <c r="AK112" s="1"/>
  <c r="AW187"/>
  <c r="AZ187" s="1"/>
  <c r="AH70"/>
  <c r="AK70" s="1"/>
  <c r="AG28"/>
  <c r="AO66" i="5"/>
  <c r="U74" s="1"/>
  <c r="AS28" i="38" l="1"/>
  <c r="AK28"/>
  <c r="AO28"/>
  <c r="AK31"/>
  <c r="AS31"/>
  <c r="AO31"/>
  <c r="AD46" i="4"/>
  <c r="AW189" i="38" l="1"/>
  <c r="AZ189" s="1"/>
  <c r="AH114"/>
  <c r="AK114" s="1"/>
  <c r="AH72"/>
  <c r="AK72" s="1"/>
  <c r="AG30"/>
  <c r="S169" i="4"/>
  <c r="S171" s="1"/>
  <c r="T171" s="1"/>
  <c r="T166"/>
  <c r="U166" s="1"/>
  <c r="Q166" s="1"/>
  <c r="S165"/>
  <c r="T165" s="1"/>
  <c r="U164"/>
  <c r="S164"/>
  <c r="T164" s="1"/>
  <c r="U163"/>
  <c r="S163"/>
  <c r="T163" s="1"/>
  <c r="S162"/>
  <c r="T162" s="1"/>
  <c r="U161"/>
  <c r="S161"/>
  <c r="T161" s="1"/>
  <c r="AS30" i="38" l="1"/>
  <c r="AK30"/>
  <c r="AO30"/>
  <c r="T176" i="4"/>
  <c r="U176" s="1"/>
  <c r="Q176" s="1"/>
  <c r="S174"/>
  <c r="U174" s="1"/>
  <c r="S175"/>
  <c r="T175" s="1"/>
  <c r="S172"/>
  <c r="T172" s="1"/>
  <c r="U171"/>
  <c r="S173"/>
  <c r="U173" s="1"/>
  <c r="AN52" i="9"/>
  <c r="T174" i="4" l="1"/>
  <c r="U175"/>
  <c r="T173"/>
  <c r="U172"/>
  <c r="B39" i="9" l="1"/>
  <c r="D25" i="5" l="1"/>
  <c r="AD60" i="4" l="1"/>
  <c r="AD54"/>
  <c r="AD55"/>
  <c r="AH128" i="38" l="1"/>
  <c r="AK128" s="1"/>
  <c r="AW203"/>
  <c r="AZ203" s="1"/>
  <c r="AF159"/>
  <c r="AH86"/>
  <c r="AK86" s="1"/>
  <c r="AG44"/>
  <c r="AW197"/>
  <c r="AZ197" s="1"/>
  <c r="AF153"/>
  <c r="AH122"/>
  <c r="AK122" s="1"/>
  <c r="AH80"/>
  <c r="AK80" s="1"/>
  <c r="AG38"/>
  <c r="AW198"/>
  <c r="AZ198" s="1"/>
  <c r="AF154"/>
  <c r="AH123"/>
  <c r="AK123" s="1"/>
  <c r="AH81"/>
  <c r="AK81" s="1"/>
  <c r="AG39"/>
  <c r="AS44" l="1"/>
  <c r="AK44"/>
  <c r="AO44"/>
  <c r="AS39"/>
  <c r="AK39"/>
  <c r="AO39"/>
  <c r="AO159"/>
  <c r="AK159"/>
  <c r="AO38"/>
  <c r="AK38"/>
  <c r="AS38"/>
  <c r="AK153"/>
  <c r="AO153"/>
  <c r="AK154"/>
  <c r="AO154"/>
  <c r="I139" i="14"/>
  <c r="E199"/>
  <c r="I199"/>
  <c r="T35" i="5" l="1"/>
  <c r="S35"/>
  <c r="R35"/>
  <c r="Q35"/>
  <c r="P35"/>
  <c r="O35"/>
  <c r="T34"/>
  <c r="S34"/>
  <c r="R34"/>
  <c r="Q34"/>
  <c r="P34"/>
  <c r="O34"/>
  <c r="T33"/>
  <c r="S33"/>
  <c r="R33"/>
  <c r="Q33"/>
  <c r="P33"/>
  <c r="O33"/>
  <c r="Q13" i="14"/>
  <c r="O13"/>
  <c r="AF44" i="4" l="1"/>
  <c r="AF42"/>
  <c r="AF40"/>
  <c r="AF38"/>
  <c r="AF36"/>
  <c r="AF34"/>
  <c r="AF32"/>
  <c r="AF30"/>
  <c r="AF28"/>
  <c r="AF26"/>
  <c r="AF24"/>
  <c r="AF22"/>
  <c r="AF20"/>
  <c r="AE44"/>
  <c r="AE42"/>
  <c r="AE40"/>
  <c r="AE38"/>
  <c r="AE36"/>
  <c r="AE34"/>
  <c r="AE32"/>
  <c r="AE30"/>
  <c r="AE28"/>
  <c r="AE26"/>
  <c r="AE24"/>
  <c r="AE22"/>
  <c r="AE20"/>
  <c r="C11" i="9" l="1"/>
  <c r="C13" i="5"/>
  <c r="S42" l="1"/>
  <c r="S43"/>
  <c r="Q58" i="9" l="1"/>
  <c r="P58"/>
  <c r="N58"/>
  <c r="M58"/>
  <c r="Q68" i="5" l="1"/>
  <c r="P68"/>
  <c r="G128" i="15" l="1"/>
  <c r="T68" i="5" l="1"/>
  <c r="Z68" s="1"/>
  <c r="S68"/>
  <c r="Y68" s="1"/>
  <c r="R68"/>
  <c r="X68" s="1"/>
  <c r="W68"/>
  <c r="V68"/>
  <c r="O25" i="14" l="1"/>
  <c r="D34" l="1"/>
  <c r="D35"/>
  <c r="D33"/>
  <c r="M37"/>
  <c r="M36"/>
  <c r="M35"/>
  <c r="G35"/>
  <c r="G34"/>
  <c r="G33"/>
  <c r="I16" i="16" l="1"/>
  <c r="F16"/>
  <c r="C16"/>
  <c r="H15"/>
  <c r="D15"/>
  <c r="C15"/>
  <c r="H14"/>
  <c r="E14"/>
  <c r="E18" s="1"/>
  <c r="E19" s="1"/>
  <c r="E21" s="1"/>
  <c r="C14"/>
  <c r="G13"/>
  <c r="D13"/>
  <c r="C13"/>
  <c r="I12"/>
  <c r="D12"/>
  <c r="C12"/>
  <c r="G11"/>
  <c r="F11"/>
  <c r="C11"/>
  <c r="D18" l="1"/>
  <c r="D19" s="1"/>
  <c r="D21" s="1"/>
  <c r="G18"/>
  <c r="G19" s="1"/>
  <c r="G21" s="1"/>
  <c r="I18"/>
  <c r="I19" s="1"/>
  <c r="I21" s="1"/>
  <c r="H18"/>
  <c r="H19" s="1"/>
  <c r="H21" s="1"/>
  <c r="F18"/>
  <c r="F19" s="1"/>
  <c r="F21" s="1"/>
  <c r="AF84" i="5" l="1"/>
  <c r="J127" i="15" l="1"/>
  <c r="I220" i="14"/>
  <c r="J220" s="1"/>
  <c r="K221" s="1"/>
  <c r="K220" s="1"/>
  <c r="K84" s="1"/>
  <c r="I218"/>
  <c r="J218" s="1"/>
  <c r="D84" s="1"/>
  <c r="K218" s="1"/>
  <c r="I211"/>
  <c r="K211" s="1"/>
  <c r="I210"/>
  <c r="K210" s="1"/>
  <c r="D204"/>
  <c r="J199"/>
  <c r="D199"/>
  <c r="Q191"/>
  <c r="Q190"/>
  <c r="Q189"/>
  <c r="Q188"/>
  <c r="Q187"/>
  <c r="K187"/>
  <c r="I187"/>
  <c r="C187"/>
  <c r="Q186"/>
  <c r="K186"/>
  <c r="I186"/>
  <c r="Q185"/>
  <c r="Q184"/>
  <c r="Q183"/>
  <c r="Q182"/>
  <c r="Q181"/>
  <c r="Q180"/>
  <c r="Q179"/>
  <c r="Q178"/>
  <c r="Q177"/>
  <c r="Q176"/>
  <c r="G176"/>
  <c r="Q175"/>
  <c r="G175"/>
  <c r="Q174"/>
  <c r="G174"/>
  <c r="N165"/>
  <c r="J165"/>
  <c r="J162"/>
  <c r="C156"/>
  <c r="O155"/>
  <c r="G155"/>
  <c r="F155"/>
  <c r="E155"/>
  <c r="E153"/>
  <c r="N153" s="1"/>
  <c r="N162" s="1"/>
  <c r="J144"/>
  <c r="M139"/>
  <c r="L139"/>
  <c r="K139"/>
  <c r="J139"/>
  <c r="H139"/>
  <c r="G139"/>
  <c r="F139"/>
  <c r="E139"/>
  <c r="D139"/>
  <c r="C139"/>
  <c r="Q138"/>
  <c r="O139" s="1"/>
  <c r="O138"/>
  <c r="O140" s="1"/>
  <c r="Q125"/>
  <c r="O126" s="1"/>
  <c r="O125"/>
  <c r="O127" s="1"/>
  <c r="C123"/>
  <c r="C124" s="1"/>
  <c r="C106" s="1"/>
  <c r="M119"/>
  <c r="N119" s="1"/>
  <c r="F119"/>
  <c r="G119" s="1"/>
  <c r="M108"/>
  <c r="N103"/>
  <c r="G96"/>
  <c r="P90"/>
  <c r="E84"/>
  <c r="F84" s="1"/>
  <c r="Q81"/>
  <c r="O81"/>
  <c r="H81"/>
  <c r="I216" s="1"/>
  <c r="C81"/>
  <c r="I215" s="1"/>
  <c r="J215" s="1"/>
  <c r="E81" s="1"/>
  <c r="K215" s="1"/>
  <c r="Q73"/>
  <c r="I73"/>
  <c r="J73" s="1"/>
  <c r="C73"/>
  <c r="D73" s="1"/>
  <c r="I72"/>
  <c r="L72" s="1"/>
  <c r="C72"/>
  <c r="F72" s="1"/>
  <c r="L71"/>
  <c r="J71"/>
  <c r="F71"/>
  <c r="D71"/>
  <c r="I67"/>
  <c r="K64"/>
  <c r="I64" s="1"/>
  <c r="E59"/>
  <c r="M56"/>
  <c r="M59" s="1"/>
  <c r="J56"/>
  <c r="J59" s="1"/>
  <c r="M54"/>
  <c r="J54"/>
  <c r="E53"/>
  <c r="E47"/>
  <c r="C47"/>
  <c r="Q46"/>
  <c r="P46"/>
  <c r="L46"/>
  <c r="K46"/>
  <c r="D38"/>
  <c r="D36"/>
  <c r="D37"/>
  <c r="F29"/>
  <c r="Q25"/>
  <c r="E25"/>
  <c r="C25"/>
  <c r="Q22"/>
  <c r="O22"/>
  <c r="I23"/>
  <c r="I22"/>
  <c r="I24" s="1"/>
  <c r="E22"/>
  <c r="C22"/>
  <c r="Q19"/>
  <c r="O19"/>
  <c r="K19"/>
  <c r="I19"/>
  <c r="E19"/>
  <c r="C19"/>
  <c r="P16"/>
  <c r="Q16" s="1"/>
  <c r="K16"/>
  <c r="J16" s="1"/>
  <c r="L16" s="1"/>
  <c r="E16"/>
  <c r="C16"/>
  <c r="K13"/>
  <c r="L13" s="1"/>
  <c r="E13"/>
  <c r="C13"/>
  <c r="Q10"/>
  <c r="O10"/>
  <c r="K10"/>
  <c r="I10" s="1"/>
  <c r="E10"/>
  <c r="C10" s="1"/>
  <c r="Q7"/>
  <c r="O7"/>
  <c r="K7"/>
  <c r="I7" s="1"/>
  <c r="E7"/>
  <c r="C7"/>
  <c r="E156" l="1"/>
  <c r="F156" s="1"/>
  <c r="N156"/>
  <c r="K162"/>
  <c r="C44"/>
  <c r="Q35"/>
  <c r="N154"/>
  <c r="J60"/>
  <c r="C107"/>
  <c r="J216"/>
  <c r="J81" s="1"/>
  <c r="K216" s="1"/>
  <c r="C41"/>
  <c r="M60"/>
  <c r="J145"/>
  <c r="J146" s="1"/>
  <c r="O35"/>
  <c r="E41"/>
  <c r="L84"/>
  <c r="M84" s="1"/>
  <c r="I221"/>
  <c r="D187"/>
  <c r="E44"/>
  <c r="G182" l="1"/>
  <c r="K224" s="1"/>
  <c r="J221"/>
  <c r="I62" i="9" l="1"/>
  <c r="O78" i="4" l="1"/>
  <c r="O160"/>
  <c r="O159"/>
  <c r="O149"/>
  <c r="O150"/>
  <c r="O151"/>
  <c r="O148"/>
  <c r="O140"/>
  <c r="O144"/>
  <c r="O129"/>
  <c r="O128"/>
  <c r="O127"/>
  <c r="O126"/>
  <c r="O125"/>
  <c r="O124"/>
  <c r="O123"/>
  <c r="O95"/>
  <c r="O96"/>
  <c r="O97"/>
  <c r="O98"/>
  <c r="O112"/>
  <c r="O111"/>
  <c r="O94"/>
  <c r="O93"/>
  <c r="O92"/>
  <c r="O77"/>
  <c r="O66"/>
  <c r="O67"/>
  <c r="O68"/>
  <c r="O69"/>
  <c r="O70"/>
  <c r="O71"/>
  <c r="O72"/>
  <c r="O73"/>
  <c r="O74"/>
  <c r="O75"/>
  <c r="O76"/>
  <c r="B44" i="9"/>
  <c r="C137"/>
  <c r="C125"/>
  <c r="S39" s="1"/>
  <c r="W39" s="1"/>
  <c r="X39" s="1"/>
  <c r="C112"/>
  <c r="S26" s="1"/>
  <c r="W26" s="1"/>
  <c r="X26" s="1"/>
  <c r="C111"/>
  <c r="S25" s="1"/>
  <c r="W25" s="1"/>
  <c r="X25" s="1"/>
  <c r="C110"/>
  <c r="S24" s="1"/>
  <c r="W24" s="1"/>
  <c r="L98"/>
  <c r="I99" s="1"/>
  <c r="H98"/>
  <c r="I100" s="1"/>
  <c r="Q60"/>
  <c r="N77"/>
  <c r="O73"/>
  <c r="N73"/>
  <c r="M73"/>
  <c r="L73"/>
  <c r="V73"/>
  <c r="V76" s="1"/>
  <c r="AG55"/>
  <c r="O64" s="1"/>
  <c r="AA55"/>
  <c r="I63" s="1"/>
  <c r="O54"/>
  <c r="L54"/>
  <c r="J54"/>
  <c r="N53"/>
  <c r="AF53" s="1"/>
  <c r="M53"/>
  <c r="AE53" s="1"/>
  <c r="L53"/>
  <c r="AD53" s="1"/>
  <c r="AM52"/>
  <c r="N52"/>
  <c r="AF52" s="1"/>
  <c r="M52"/>
  <c r="AE52" s="1"/>
  <c r="L52"/>
  <c r="AD52" s="1"/>
  <c r="AN51"/>
  <c r="AM51"/>
  <c r="N51"/>
  <c r="AF51" s="1"/>
  <c r="M51"/>
  <c r="AE51" s="1"/>
  <c r="L51"/>
  <c r="AD51" s="1"/>
  <c r="AN50"/>
  <c r="AM50"/>
  <c r="N50"/>
  <c r="AF50" s="1"/>
  <c r="M50"/>
  <c r="AE50" s="1"/>
  <c r="L50"/>
  <c r="AD50" s="1"/>
  <c r="AN49"/>
  <c r="N49"/>
  <c r="AF49" s="1"/>
  <c r="M49"/>
  <c r="AE49" s="1"/>
  <c r="L49"/>
  <c r="AD49" s="1"/>
  <c r="AN48"/>
  <c r="N48"/>
  <c r="AF48" s="1"/>
  <c r="M48"/>
  <c r="AE48" s="1"/>
  <c r="L48"/>
  <c r="AD48" s="1"/>
  <c r="E48"/>
  <c r="E44" s="1"/>
  <c r="N47"/>
  <c r="AF47" s="1"/>
  <c r="M47"/>
  <c r="AE47" s="1"/>
  <c r="L47"/>
  <c r="AD47" s="1"/>
  <c r="C47"/>
  <c r="AN46"/>
  <c r="N46"/>
  <c r="AF46" s="1"/>
  <c r="M46"/>
  <c r="AE46" s="1"/>
  <c r="L46"/>
  <c r="AD46" s="1"/>
  <c r="N45"/>
  <c r="AF45" s="1"/>
  <c r="M45"/>
  <c r="AE45" s="1"/>
  <c r="L45"/>
  <c r="AD45" s="1"/>
  <c r="C45"/>
  <c r="T44"/>
  <c r="N44"/>
  <c r="AF44" s="1"/>
  <c r="M44"/>
  <c r="AE44" s="1"/>
  <c r="L44"/>
  <c r="AD44" s="1"/>
  <c r="AO43"/>
  <c r="AL43" s="1"/>
  <c r="AM43" s="1"/>
  <c r="W43"/>
  <c r="N43"/>
  <c r="AF43" s="1"/>
  <c r="M43"/>
  <c r="AE43" s="1"/>
  <c r="L43"/>
  <c r="AD43" s="1"/>
  <c r="AO42"/>
  <c r="AL42" s="1"/>
  <c r="AM42" s="1"/>
  <c r="N42"/>
  <c r="AF42" s="1"/>
  <c r="M42"/>
  <c r="AE42" s="1"/>
  <c r="L42"/>
  <c r="AD42" s="1"/>
  <c r="AO41"/>
  <c r="AL41" s="1"/>
  <c r="AM41" s="1"/>
  <c r="N41"/>
  <c r="AF41" s="1"/>
  <c r="M41"/>
  <c r="AE41" s="1"/>
  <c r="L41"/>
  <c r="AD41" s="1"/>
  <c r="AO40"/>
  <c r="AL40" s="1"/>
  <c r="AM40" s="1"/>
  <c r="N40"/>
  <c r="AF40" s="1"/>
  <c r="M40"/>
  <c r="AE40" s="1"/>
  <c r="L40"/>
  <c r="AD40" s="1"/>
  <c r="B40"/>
  <c r="N39"/>
  <c r="AF39" s="1"/>
  <c r="M39"/>
  <c r="AE39" s="1"/>
  <c r="L39"/>
  <c r="AD39" s="1"/>
  <c r="E39"/>
  <c r="N38"/>
  <c r="AF38" s="1"/>
  <c r="M38"/>
  <c r="AE38" s="1"/>
  <c r="L38"/>
  <c r="AD38" s="1"/>
  <c r="E38"/>
  <c r="B38"/>
  <c r="N37"/>
  <c r="AF37" s="1"/>
  <c r="M37"/>
  <c r="AE37" s="1"/>
  <c r="L37"/>
  <c r="AD37" s="1"/>
  <c r="E37"/>
  <c r="B37"/>
  <c r="N36"/>
  <c r="AF36" s="1"/>
  <c r="M36"/>
  <c r="AE36" s="1"/>
  <c r="L36"/>
  <c r="AD36" s="1"/>
  <c r="E36"/>
  <c r="B36"/>
  <c r="U35"/>
  <c r="Y35" s="1"/>
  <c r="T35"/>
  <c r="S35"/>
  <c r="W35" s="1"/>
  <c r="N35"/>
  <c r="AF35" s="1"/>
  <c r="M35"/>
  <c r="AE35" s="1"/>
  <c r="L35"/>
  <c r="AD35" s="1"/>
  <c r="B35"/>
  <c r="N34"/>
  <c r="AF34" s="1"/>
  <c r="M34"/>
  <c r="AE34" s="1"/>
  <c r="L34"/>
  <c r="AD34" s="1"/>
  <c r="AM33"/>
  <c r="AL33" s="1"/>
  <c r="N33"/>
  <c r="AF33" s="1"/>
  <c r="M33"/>
  <c r="AE33" s="1"/>
  <c r="L33"/>
  <c r="AD33" s="1"/>
  <c r="AM32"/>
  <c r="AL32" s="1"/>
  <c r="N32"/>
  <c r="AF32" s="1"/>
  <c r="M32"/>
  <c r="AE32" s="1"/>
  <c r="L32"/>
  <c r="AD32" s="1"/>
  <c r="E32"/>
  <c r="B32"/>
  <c r="AM31"/>
  <c r="AL31" s="1"/>
  <c r="N31"/>
  <c r="AF31" s="1"/>
  <c r="M31"/>
  <c r="AE31" s="1"/>
  <c r="L31"/>
  <c r="AD31" s="1"/>
  <c r="E31"/>
  <c r="B31"/>
  <c r="AM30"/>
  <c r="AL30" s="1"/>
  <c r="N30"/>
  <c r="AF30" s="1"/>
  <c r="M30"/>
  <c r="AE30" s="1"/>
  <c r="L30"/>
  <c r="AD30" s="1"/>
  <c r="E30"/>
  <c r="B30"/>
  <c r="AM29"/>
  <c r="AL29" s="1"/>
  <c r="N29"/>
  <c r="AF29" s="1"/>
  <c r="M29"/>
  <c r="AE29" s="1"/>
  <c r="L29"/>
  <c r="AD29" s="1"/>
  <c r="E29"/>
  <c r="B29"/>
  <c r="AM28"/>
  <c r="AL28" s="1"/>
  <c r="N28"/>
  <c r="AF28" s="1"/>
  <c r="M28"/>
  <c r="AE28" s="1"/>
  <c r="L28"/>
  <c r="AD28" s="1"/>
  <c r="E28"/>
  <c r="B28"/>
  <c r="AM27"/>
  <c r="AL27" s="1"/>
  <c r="AI27"/>
  <c r="AH27"/>
  <c r="AG27"/>
  <c r="AC27"/>
  <c r="AB27"/>
  <c r="AA27"/>
  <c r="N27"/>
  <c r="AF27" s="1"/>
  <c r="M27"/>
  <c r="L27"/>
  <c r="E27"/>
  <c r="B27"/>
  <c r="E26"/>
  <c r="B26"/>
  <c r="E25"/>
  <c r="B25"/>
  <c r="AM24"/>
  <c r="AL24"/>
  <c r="U24"/>
  <c r="Y24" s="1"/>
  <c r="B24"/>
  <c r="AM23"/>
  <c r="AL23"/>
  <c r="AM22"/>
  <c r="AL22"/>
  <c r="AM21"/>
  <c r="AL21"/>
  <c r="AM20"/>
  <c r="AL20"/>
  <c r="Q20"/>
  <c r="O20"/>
  <c r="AM19"/>
  <c r="AL19"/>
  <c r="AM18"/>
  <c r="AL18"/>
  <c r="AL15"/>
  <c r="AM15" s="1"/>
  <c r="AL14"/>
  <c r="AM14" s="1"/>
  <c r="AL13"/>
  <c r="AM13" s="1"/>
  <c r="AL12"/>
  <c r="AM12" s="1"/>
  <c r="S12"/>
  <c r="AL11"/>
  <c r="AM11" s="1"/>
  <c r="AL10"/>
  <c r="AM10" s="1"/>
  <c r="AL9"/>
  <c r="AM9" s="1"/>
  <c r="I4"/>
  <c r="E40" l="1"/>
  <c r="G11"/>
  <c r="H11" s="1"/>
  <c r="I57"/>
  <c r="J60" s="1"/>
  <c r="O62"/>
  <c r="L62"/>
  <c r="F28"/>
  <c r="E24"/>
  <c r="E35"/>
  <c r="AA54"/>
  <c r="M54"/>
  <c r="AG54"/>
  <c r="X35"/>
  <c r="F30"/>
  <c r="F32"/>
  <c r="AD55"/>
  <c r="L63" s="1"/>
  <c r="AE27"/>
  <c r="D41"/>
  <c r="X73"/>
  <c r="X76" s="1"/>
  <c r="N76" s="1"/>
  <c r="AC54"/>
  <c r="AI54"/>
  <c r="AB54"/>
  <c r="AH54"/>
  <c r="C41"/>
  <c r="W73"/>
  <c r="W76" s="1"/>
  <c r="W75" s="1"/>
  <c r="F29"/>
  <c r="X24"/>
  <c r="W45" s="1"/>
  <c r="W50"/>
  <c r="AF54"/>
  <c r="F31"/>
  <c r="F36"/>
  <c r="J76"/>
  <c r="K76" s="1"/>
  <c r="V74"/>
  <c r="V75"/>
  <c r="Y42"/>
  <c r="D15" s="1"/>
  <c r="F26"/>
  <c r="F27"/>
  <c r="F37"/>
  <c r="F38"/>
  <c r="F39"/>
  <c r="P60"/>
  <c r="J77"/>
  <c r="AD27"/>
  <c r="AD54" s="1"/>
  <c r="W49"/>
  <c r="W44"/>
  <c r="F48" s="1"/>
  <c r="P54"/>
  <c r="O63"/>
  <c r="W46" l="1"/>
  <c r="W47"/>
  <c r="F40"/>
  <c r="F25"/>
  <c r="C8"/>
  <c r="X75"/>
  <c r="N75" s="1"/>
  <c r="O75" s="1"/>
  <c r="AE54"/>
  <c r="L57"/>
  <c r="M60" s="1"/>
  <c r="Q59"/>
  <c r="Q61" s="1"/>
  <c r="E50"/>
  <c r="O76"/>
  <c r="X74"/>
  <c r="N74" s="1"/>
  <c r="O74" s="1"/>
  <c r="F35"/>
  <c r="O59"/>
  <c r="O61" s="1"/>
  <c r="F44"/>
  <c r="L76"/>
  <c r="M76" s="1"/>
  <c r="W74"/>
  <c r="L74" s="1"/>
  <c r="M74" s="1"/>
  <c r="I60"/>
  <c r="I59" s="1"/>
  <c r="I61" s="1"/>
  <c r="J59"/>
  <c r="J61" s="1"/>
  <c r="K60"/>
  <c r="K59" s="1"/>
  <c r="K61" s="1"/>
  <c r="J74"/>
  <c r="K74" s="1"/>
  <c r="J75"/>
  <c r="K75" s="1"/>
  <c r="F24"/>
  <c r="G8"/>
  <c r="L75"/>
  <c r="M75" s="1"/>
  <c r="C15"/>
  <c r="P59"/>
  <c r="P61" s="1"/>
  <c r="M59" l="1"/>
  <c r="M61" s="1"/>
  <c r="N60"/>
  <c r="N59" s="1"/>
  <c r="N61" s="1"/>
  <c r="L60"/>
  <c r="L59" s="1"/>
  <c r="L61" s="1"/>
  <c r="W15"/>
  <c r="D14" s="1"/>
  <c r="P63"/>
  <c r="C14" s="1"/>
  <c r="J63"/>
  <c r="I64" s="1"/>
  <c r="W13"/>
  <c r="D12" s="1"/>
  <c r="F50"/>
  <c r="W52"/>
  <c r="G9" s="1"/>
  <c r="G10" s="1"/>
  <c r="W51"/>
  <c r="H8"/>
  <c r="H13" s="1"/>
  <c r="C9" l="1"/>
  <c r="C10" s="1"/>
  <c r="F51"/>
  <c r="C51"/>
  <c r="W14"/>
  <c r="D13" s="1"/>
  <c r="M63"/>
  <c r="L64" s="1"/>
  <c r="T11"/>
  <c r="P11" s="1"/>
  <c r="C12"/>
  <c r="T12"/>
  <c r="N12" s="1"/>
  <c r="N14" s="1"/>
  <c r="H9"/>
  <c r="P15"/>
  <c r="N15"/>
  <c r="L15"/>
  <c r="H10"/>
  <c r="C13" l="1"/>
  <c r="L11"/>
  <c r="N11"/>
  <c r="N13" s="1"/>
  <c r="L12"/>
  <c r="L14" s="1"/>
  <c r="P12"/>
  <c r="P14" s="1"/>
  <c r="L13" l="1"/>
  <c r="P13"/>
  <c r="BD57" i="5" l="1"/>
  <c r="BD58"/>
  <c r="BD59"/>
  <c r="BD60"/>
  <c r="BD61"/>
  <c r="BC57"/>
  <c r="BC58"/>
  <c r="BC59"/>
  <c r="BC60"/>
  <c r="BC61"/>
  <c r="BC39"/>
  <c r="BC40"/>
  <c r="BC41"/>
  <c r="BC42"/>
  <c r="BC43"/>
  <c r="S44" l="1"/>
  <c r="S45"/>
  <c r="S46"/>
  <c r="S47"/>
  <c r="S48"/>
  <c r="S49"/>
  <c r="S50"/>
  <c r="S51"/>
  <c r="S52"/>
  <c r="S53"/>
  <c r="S54"/>
  <c r="AM54" s="1"/>
  <c r="S55"/>
  <c r="S56"/>
  <c r="S57"/>
  <c r="S58"/>
  <c r="S59"/>
  <c r="S60"/>
  <c r="S61"/>
  <c r="S62"/>
  <c r="S63"/>
  <c r="BB39"/>
  <c r="BB40"/>
  <c r="BB41"/>
  <c r="BB42"/>
  <c r="BB43"/>
  <c r="BD56"/>
  <c r="BC56"/>
  <c r="BC38"/>
  <c r="BB38" s="1"/>
  <c r="BB35"/>
  <c r="BC35" s="1"/>
  <c r="BB34"/>
  <c r="BC34" s="1"/>
  <c r="BB33"/>
  <c r="BC33" s="1"/>
  <c r="BB32"/>
  <c r="BC32" s="1"/>
  <c r="BB31"/>
  <c r="BC31" s="1"/>
  <c r="BB30"/>
  <c r="BC30" s="1"/>
  <c r="BN2" l="1"/>
  <c r="BM3"/>
  <c r="AI84"/>
  <c r="AC80"/>
  <c r="AF80" s="1"/>
  <c r="AC79"/>
  <c r="AF79" s="1"/>
  <c r="AI79" s="1"/>
  <c r="AC77"/>
  <c r="AF77" s="1"/>
  <c r="AC76"/>
  <c r="AF76" s="1"/>
  <c r="L88"/>
  <c r="AC75"/>
  <c r="AF75" s="1"/>
  <c r="E69"/>
  <c r="E58" s="1"/>
  <c r="O81"/>
  <c r="Q81" s="1"/>
  <c r="N81"/>
  <c r="AT68"/>
  <c r="AT74" s="1"/>
  <c r="Z70"/>
  <c r="Y70"/>
  <c r="X70"/>
  <c r="W70"/>
  <c r="V70"/>
  <c r="C68"/>
  <c r="C66"/>
  <c r="AY65"/>
  <c r="B65"/>
  <c r="U64"/>
  <c r="O64"/>
  <c r="J64"/>
  <c r="T63"/>
  <c r="R63"/>
  <c r="Q63"/>
  <c r="P63"/>
  <c r="O63"/>
  <c r="AA63"/>
  <c r="AV62"/>
  <c r="AU62"/>
  <c r="AX62" s="1"/>
  <c r="T62"/>
  <c r="R62"/>
  <c r="Q62"/>
  <c r="P62"/>
  <c r="O62"/>
  <c r="AA62"/>
  <c r="B62"/>
  <c r="AV61"/>
  <c r="T61"/>
  <c r="R61"/>
  <c r="Q61"/>
  <c r="P61"/>
  <c r="O61"/>
  <c r="AA61"/>
  <c r="E61"/>
  <c r="AV60"/>
  <c r="AU60"/>
  <c r="AX60" s="1"/>
  <c r="T60"/>
  <c r="R60"/>
  <c r="Q60"/>
  <c r="P60"/>
  <c r="O60"/>
  <c r="AA60"/>
  <c r="AV59"/>
  <c r="AU59"/>
  <c r="AX59" s="1"/>
  <c r="T59"/>
  <c r="R59"/>
  <c r="Q59"/>
  <c r="P59"/>
  <c r="O59"/>
  <c r="AA59"/>
  <c r="E59"/>
  <c r="AV58"/>
  <c r="AU58"/>
  <c r="AX58" s="1"/>
  <c r="T58"/>
  <c r="R58"/>
  <c r="Q58"/>
  <c r="P58"/>
  <c r="O58"/>
  <c r="AA58"/>
  <c r="B58"/>
  <c r="AV57"/>
  <c r="AU57"/>
  <c r="AX57" s="1"/>
  <c r="T57"/>
  <c r="R57"/>
  <c r="Q57"/>
  <c r="P57"/>
  <c r="O57"/>
  <c r="AA57"/>
  <c r="AV56"/>
  <c r="AU56"/>
  <c r="AX56" s="1"/>
  <c r="T56"/>
  <c r="R56"/>
  <c r="Q56"/>
  <c r="P56"/>
  <c r="O56"/>
  <c r="AA56"/>
  <c r="E56"/>
  <c r="T55"/>
  <c r="R55"/>
  <c r="Q55"/>
  <c r="P55"/>
  <c r="O55"/>
  <c r="AA55"/>
  <c r="E55"/>
  <c r="T54"/>
  <c r="AN54" s="1"/>
  <c r="R54"/>
  <c r="AL54" s="1"/>
  <c r="Q54"/>
  <c r="AK54" s="1"/>
  <c r="P54"/>
  <c r="AJ54" s="1"/>
  <c r="O54"/>
  <c r="AI54" s="1"/>
  <c r="AA54"/>
  <c r="E54"/>
  <c r="AV53"/>
  <c r="AU53"/>
  <c r="AX53" s="1"/>
  <c r="T53"/>
  <c r="R53"/>
  <c r="Q53"/>
  <c r="P53"/>
  <c r="O53"/>
  <c r="AA53"/>
  <c r="E53"/>
  <c r="AV52"/>
  <c r="AU52"/>
  <c r="AX52" s="1"/>
  <c r="T52"/>
  <c r="R52"/>
  <c r="Q52"/>
  <c r="P52"/>
  <c r="O52"/>
  <c r="AA52"/>
  <c r="AV51"/>
  <c r="AU51"/>
  <c r="AX51" s="1"/>
  <c r="T51"/>
  <c r="R51"/>
  <c r="Q51"/>
  <c r="P51"/>
  <c r="O51"/>
  <c r="AA51"/>
  <c r="AV50"/>
  <c r="AU50"/>
  <c r="AX50" s="1"/>
  <c r="T50"/>
  <c r="R50"/>
  <c r="Q50"/>
  <c r="P50"/>
  <c r="O50"/>
  <c r="AA50"/>
  <c r="AV49"/>
  <c r="AU49"/>
  <c r="AX49" s="1"/>
  <c r="T49"/>
  <c r="R49"/>
  <c r="Q49"/>
  <c r="P49"/>
  <c r="O49"/>
  <c r="AA49"/>
  <c r="E49"/>
  <c r="B49"/>
  <c r="AV48"/>
  <c r="AU48"/>
  <c r="AX48" s="1"/>
  <c r="T48"/>
  <c r="R48"/>
  <c r="Q48"/>
  <c r="P48"/>
  <c r="O48"/>
  <c r="AA48"/>
  <c r="E48"/>
  <c r="AV47"/>
  <c r="AU47"/>
  <c r="AX47" s="1"/>
  <c r="T47"/>
  <c r="R47"/>
  <c r="Q47"/>
  <c r="P47"/>
  <c r="O47"/>
  <c r="AA47"/>
  <c r="E47"/>
  <c r="AV46"/>
  <c r="AU46"/>
  <c r="AX46" s="1"/>
  <c r="T46"/>
  <c r="R46"/>
  <c r="Q46"/>
  <c r="P46"/>
  <c r="O46"/>
  <c r="AA46"/>
  <c r="E46"/>
  <c r="AV45"/>
  <c r="AU45"/>
  <c r="AX45" s="1"/>
  <c r="T45"/>
  <c r="R45"/>
  <c r="Q45"/>
  <c r="P45"/>
  <c r="O45"/>
  <c r="AA45"/>
  <c r="E45"/>
  <c r="AV44"/>
  <c r="AU44"/>
  <c r="AX44" s="1"/>
  <c r="T44"/>
  <c r="R44"/>
  <c r="Q44"/>
  <c r="P44"/>
  <c r="O44"/>
  <c r="AA44"/>
  <c r="E44"/>
  <c r="AV43"/>
  <c r="AU43"/>
  <c r="AX43" s="1"/>
  <c r="T43"/>
  <c r="R43"/>
  <c r="Q43"/>
  <c r="P43"/>
  <c r="O43"/>
  <c r="AT43"/>
  <c r="AA43"/>
  <c r="E43"/>
  <c r="AV42"/>
  <c r="AU42"/>
  <c r="AX42" s="1"/>
  <c r="T42"/>
  <c r="R42"/>
  <c r="Q42"/>
  <c r="P42"/>
  <c r="O42"/>
  <c r="AA42"/>
  <c r="E42"/>
  <c r="AV41"/>
  <c r="AU41"/>
  <c r="AX41" s="1"/>
  <c r="T41"/>
  <c r="S41"/>
  <c r="R41"/>
  <c r="Q41"/>
  <c r="P41"/>
  <c r="O41"/>
  <c r="AT41"/>
  <c r="AA41"/>
  <c r="E41"/>
  <c r="AV40"/>
  <c r="AU40"/>
  <c r="AX40" s="1"/>
  <c r="T40"/>
  <c r="S40"/>
  <c r="R40"/>
  <c r="Q40"/>
  <c r="P40"/>
  <c r="O40"/>
  <c r="AT40"/>
  <c r="AA40"/>
  <c r="E40"/>
  <c r="AV39"/>
  <c r="AU39"/>
  <c r="AX39" s="1"/>
  <c r="T39"/>
  <c r="S39"/>
  <c r="R39"/>
  <c r="Q39"/>
  <c r="P39"/>
  <c r="O39"/>
  <c r="AT39"/>
  <c r="AA39"/>
  <c r="E39"/>
  <c r="AV38"/>
  <c r="AU38"/>
  <c r="AX38" s="1"/>
  <c r="T38"/>
  <c r="S38"/>
  <c r="R38"/>
  <c r="Q38"/>
  <c r="P38"/>
  <c r="O38"/>
  <c r="AQ38"/>
  <c r="AA38"/>
  <c r="E38"/>
  <c r="AV37"/>
  <c r="AU37"/>
  <c r="AX37" s="1"/>
  <c r="T37"/>
  <c r="S37"/>
  <c r="R37"/>
  <c r="Q37"/>
  <c r="P37"/>
  <c r="O37"/>
  <c r="AT37"/>
  <c r="AA37"/>
  <c r="E37"/>
  <c r="AV36"/>
  <c r="AU36"/>
  <c r="AX36" s="1"/>
  <c r="T36"/>
  <c r="S36"/>
  <c r="R36"/>
  <c r="Q36"/>
  <c r="P36"/>
  <c r="O36"/>
  <c r="AQ36"/>
  <c r="AA36"/>
  <c r="E36"/>
  <c r="AV35"/>
  <c r="AU35"/>
  <c r="AX35" s="1"/>
  <c r="AT35"/>
  <c r="AA35"/>
  <c r="E35"/>
  <c r="AV34"/>
  <c r="AU34"/>
  <c r="AX34" s="1"/>
  <c r="H34"/>
  <c r="AQ34" s="1"/>
  <c r="AA34"/>
  <c r="AV33"/>
  <c r="AU33"/>
  <c r="AX33" s="1"/>
  <c r="H33"/>
  <c r="AT33" s="1"/>
  <c r="G33"/>
  <c r="AA33" s="1"/>
  <c r="E33"/>
  <c r="AV32"/>
  <c r="AU32"/>
  <c r="AX32" s="1"/>
  <c r="G26"/>
  <c r="D26"/>
  <c r="K25"/>
  <c r="I25"/>
  <c r="G25"/>
  <c r="G24"/>
  <c r="D24"/>
  <c r="AC12"/>
  <c r="D6"/>
  <c r="E57" l="1"/>
  <c r="E62"/>
  <c r="E60"/>
  <c r="E52"/>
  <c r="O67"/>
  <c r="BN27"/>
  <c r="E34"/>
  <c r="P88"/>
  <c r="N88"/>
  <c r="AT44"/>
  <c r="AP44"/>
  <c r="AT45"/>
  <c r="AP45"/>
  <c r="AQ45"/>
  <c r="AQ46"/>
  <c r="AP46"/>
  <c r="AT47"/>
  <c r="AP47"/>
  <c r="AQ47"/>
  <c r="AQ48"/>
  <c r="AP48"/>
  <c r="AT49"/>
  <c r="AP49"/>
  <c r="AQ49"/>
  <c r="AQ50"/>
  <c r="AP50"/>
  <c r="AT51"/>
  <c r="AP51"/>
  <c r="AQ51"/>
  <c r="AP52"/>
  <c r="AQ52"/>
  <c r="AT53"/>
  <c r="AP53"/>
  <c r="AQ53"/>
  <c r="AP55"/>
  <c r="AQ55"/>
  <c r="AQ56"/>
  <c r="AP56"/>
  <c r="AP57"/>
  <c r="AQ57"/>
  <c r="P64"/>
  <c r="V64"/>
  <c r="E50"/>
  <c r="E65"/>
  <c r="AY39"/>
  <c r="AY35"/>
  <c r="AY38"/>
  <c r="AJ55"/>
  <c r="AN55"/>
  <c r="AY51"/>
  <c r="BO2"/>
  <c r="BP2" s="1"/>
  <c r="BN3"/>
  <c r="AG51"/>
  <c r="AY52"/>
  <c r="E32"/>
  <c r="AY34"/>
  <c r="AS39"/>
  <c r="AK40"/>
  <c r="AC40"/>
  <c r="AK47"/>
  <c r="AC47"/>
  <c r="E51"/>
  <c r="AY57"/>
  <c r="AK63"/>
  <c r="AY48"/>
  <c r="AY50"/>
  <c r="AJ63"/>
  <c r="AN63"/>
  <c r="AI63"/>
  <c r="AR49"/>
  <c r="AK55"/>
  <c r="AC55"/>
  <c r="AJ58"/>
  <c r="AN58"/>
  <c r="AJ59"/>
  <c r="AN59"/>
  <c r="AY60"/>
  <c r="AR40"/>
  <c r="AR47"/>
  <c r="AJ40"/>
  <c r="AY45"/>
  <c r="AS55"/>
  <c r="AK56"/>
  <c r="AO35"/>
  <c r="AS43"/>
  <c r="AG44"/>
  <c r="AO51"/>
  <c r="AO56"/>
  <c r="AK35"/>
  <c r="AC35"/>
  <c r="AG43"/>
  <c r="AK44"/>
  <c r="AC44"/>
  <c r="AS45"/>
  <c r="AG49"/>
  <c r="AJ33"/>
  <c r="AN33"/>
  <c r="AY36"/>
  <c r="AJ37"/>
  <c r="AN37"/>
  <c r="AG40"/>
  <c r="AJ41"/>
  <c r="AN41"/>
  <c r="AJ43"/>
  <c r="AN43"/>
  <c r="AG47"/>
  <c r="AK49"/>
  <c r="AC49"/>
  <c r="AJ51"/>
  <c r="AN51"/>
  <c r="AO55"/>
  <c r="AJ56"/>
  <c r="AN56"/>
  <c r="AK59"/>
  <c r="AR44"/>
  <c r="AG55"/>
  <c r="AS56"/>
  <c r="AY40"/>
  <c r="F40"/>
  <c r="AY42"/>
  <c r="F42"/>
  <c r="AY47"/>
  <c r="F47"/>
  <c r="F55"/>
  <c r="AY44"/>
  <c r="F44"/>
  <c r="AY56"/>
  <c r="F56"/>
  <c r="AY59"/>
  <c r="AY62"/>
  <c r="AY49"/>
  <c r="F49"/>
  <c r="F54"/>
  <c r="AG33"/>
  <c r="AS33"/>
  <c r="AE37"/>
  <c r="AQ37"/>
  <c r="AG39"/>
  <c r="AE41"/>
  <c r="AQ41"/>
  <c r="AE43"/>
  <c r="AQ43"/>
  <c r="AG45"/>
  <c r="AY46"/>
  <c r="AE53"/>
  <c r="AT57"/>
  <c r="AI33"/>
  <c r="AM33"/>
  <c r="AF33"/>
  <c r="AR33"/>
  <c r="AG35"/>
  <c r="AK37"/>
  <c r="AC37"/>
  <c r="AO37"/>
  <c r="AK39"/>
  <c r="AC39"/>
  <c r="AN40"/>
  <c r="AO40"/>
  <c r="AK41"/>
  <c r="AC41"/>
  <c r="AO41"/>
  <c r="AK43"/>
  <c r="AC43"/>
  <c r="AO43"/>
  <c r="AF44"/>
  <c r="AS44"/>
  <c r="AK45"/>
  <c r="AC45"/>
  <c r="AF47"/>
  <c r="AS47"/>
  <c r="AF49"/>
  <c r="AS49"/>
  <c r="AK53"/>
  <c r="AC53"/>
  <c r="AO53"/>
  <c r="AK57"/>
  <c r="AS57"/>
  <c r="AK60"/>
  <c r="AE33"/>
  <c r="AQ33"/>
  <c r="AG37"/>
  <c r="AS37"/>
  <c r="AG41"/>
  <c r="AS41"/>
  <c r="AF51"/>
  <c r="AS51"/>
  <c r="AJ53"/>
  <c r="AN53"/>
  <c r="AG53"/>
  <c r="AS53"/>
  <c r="AF55"/>
  <c r="AJ57"/>
  <c r="AN57"/>
  <c r="AO57"/>
  <c r="AJ60"/>
  <c r="AN60"/>
  <c r="AK62"/>
  <c r="AM63"/>
  <c r="U70"/>
  <c r="AK33"/>
  <c r="AC33"/>
  <c r="AO33"/>
  <c r="AS35"/>
  <c r="AI37"/>
  <c r="AM37"/>
  <c r="AF37"/>
  <c r="AR37"/>
  <c r="AO39"/>
  <c r="AF40"/>
  <c r="AS40"/>
  <c r="AI41"/>
  <c r="AM41"/>
  <c r="AF41"/>
  <c r="AR41"/>
  <c r="AS42"/>
  <c r="AI43"/>
  <c r="AM43"/>
  <c r="AF43"/>
  <c r="AR43"/>
  <c r="AJ44"/>
  <c r="AN44"/>
  <c r="AO44"/>
  <c r="AO45"/>
  <c r="AJ47"/>
  <c r="AN47"/>
  <c r="AO47"/>
  <c r="AJ49"/>
  <c r="AN49"/>
  <c r="AO49"/>
  <c r="AK51"/>
  <c r="AC51"/>
  <c r="AR51"/>
  <c r="AI53"/>
  <c r="AM53"/>
  <c r="AF53"/>
  <c r="AR53"/>
  <c r="AT56"/>
  <c r="AK58"/>
  <c r="AJ62"/>
  <c r="AN62"/>
  <c r="AU68"/>
  <c r="AU74" s="1"/>
  <c r="AT69"/>
  <c r="AT71"/>
  <c r="AT70"/>
  <c r="L87"/>
  <c r="M87" s="1"/>
  <c r="AT73"/>
  <c r="AT72"/>
  <c r="F37"/>
  <c r="AY37"/>
  <c r="F41"/>
  <c r="AY41"/>
  <c r="F43"/>
  <c r="AY43"/>
  <c r="F53"/>
  <c r="AY53"/>
  <c r="AF81"/>
  <c r="AF82" s="1"/>
  <c r="D82" s="1"/>
  <c r="AI75"/>
  <c r="AI81" s="1"/>
  <c r="AI82" s="1"/>
  <c r="G82" s="1"/>
  <c r="F33"/>
  <c r="AY33"/>
  <c r="AD34"/>
  <c r="AH34"/>
  <c r="AL34"/>
  <c r="AP34"/>
  <c r="AT34"/>
  <c r="AD36"/>
  <c r="AH36"/>
  <c r="AL36"/>
  <c r="AP36"/>
  <c r="AT36"/>
  <c r="AD38"/>
  <c r="AH38"/>
  <c r="AL38"/>
  <c r="AP38"/>
  <c r="AT38"/>
  <c r="AF42"/>
  <c r="AJ42"/>
  <c r="AN42"/>
  <c r="AR42"/>
  <c r="AD46"/>
  <c r="AH46"/>
  <c r="AL46"/>
  <c r="AT46"/>
  <c r="AD48"/>
  <c r="AH48"/>
  <c r="AL48"/>
  <c r="AT48"/>
  <c r="AD50"/>
  <c r="AH50"/>
  <c r="AL50"/>
  <c r="AT50"/>
  <c r="AD52"/>
  <c r="AH52"/>
  <c r="AL52"/>
  <c r="AT52"/>
  <c r="AL61"/>
  <c r="AY32"/>
  <c r="AD33"/>
  <c r="AH33"/>
  <c r="AL33"/>
  <c r="AP33"/>
  <c r="AC34"/>
  <c r="AG34"/>
  <c r="AK34"/>
  <c r="AO34"/>
  <c r="AS34"/>
  <c r="F35"/>
  <c r="AF35"/>
  <c r="AJ35"/>
  <c r="AN35"/>
  <c r="AR35"/>
  <c r="AC36"/>
  <c r="AG36"/>
  <c r="AK36"/>
  <c r="AO36"/>
  <c r="AS36"/>
  <c r="AD37"/>
  <c r="AH37"/>
  <c r="AL37"/>
  <c r="AP37"/>
  <c r="AC38"/>
  <c r="AG38"/>
  <c r="AK38"/>
  <c r="AO38"/>
  <c r="AS38"/>
  <c r="F39"/>
  <c r="AF39"/>
  <c r="AJ39"/>
  <c r="AN39"/>
  <c r="AR39"/>
  <c r="AE40"/>
  <c r="AI40"/>
  <c r="AM40"/>
  <c r="AQ40"/>
  <c r="AD41"/>
  <c r="AH41"/>
  <c r="AL41"/>
  <c r="AP41"/>
  <c r="AE42"/>
  <c r="AI42"/>
  <c r="AM42"/>
  <c r="AQ42"/>
  <c r="AD43"/>
  <c r="AH43"/>
  <c r="AL43"/>
  <c r="AP43"/>
  <c r="AE44"/>
  <c r="AI44"/>
  <c r="AM44"/>
  <c r="AQ44"/>
  <c r="F45"/>
  <c r="AF45"/>
  <c r="AJ45"/>
  <c r="AN45"/>
  <c r="AR45"/>
  <c r="AC46"/>
  <c r="AG46"/>
  <c r="AK46"/>
  <c r="AO46"/>
  <c r="AS46"/>
  <c r="AE47"/>
  <c r="AI47"/>
  <c r="AM47"/>
  <c r="AC48"/>
  <c r="AG48"/>
  <c r="AK48"/>
  <c r="AO48"/>
  <c r="AS48"/>
  <c r="AE49"/>
  <c r="AI49"/>
  <c r="AM49"/>
  <c r="AC50"/>
  <c r="AG50"/>
  <c r="AK50"/>
  <c r="AO50"/>
  <c r="AS50"/>
  <c r="AE51"/>
  <c r="AI51"/>
  <c r="AM51"/>
  <c r="AC52"/>
  <c r="AG52"/>
  <c r="AK52"/>
  <c r="AO52"/>
  <c r="AS52"/>
  <c r="AD53"/>
  <c r="AH53"/>
  <c r="AL53"/>
  <c r="AE55"/>
  <c r="AI55"/>
  <c r="AM55"/>
  <c r="AR55"/>
  <c r="AI56"/>
  <c r="AM56"/>
  <c r="AR56"/>
  <c r="AI57"/>
  <c r="AM57"/>
  <c r="AR57"/>
  <c r="AI58"/>
  <c r="AM58"/>
  <c r="AI59"/>
  <c r="AM59"/>
  <c r="AI60"/>
  <c r="AM60"/>
  <c r="AK61"/>
  <c r="AI62"/>
  <c r="AM62"/>
  <c r="AL63"/>
  <c r="P81"/>
  <c r="AV68" s="1"/>
  <c r="AV74" s="1"/>
  <c r="P87" s="1"/>
  <c r="AF34"/>
  <c r="AJ34"/>
  <c r="AN34"/>
  <c r="AR34"/>
  <c r="AE35"/>
  <c r="AI35"/>
  <c r="AM35"/>
  <c r="AQ35"/>
  <c r="F36"/>
  <c r="AF36"/>
  <c r="AJ36"/>
  <c r="AN36"/>
  <c r="AR36"/>
  <c r="F38"/>
  <c r="AF38"/>
  <c r="AJ38"/>
  <c r="AN38"/>
  <c r="AR38"/>
  <c r="AE39"/>
  <c r="AI39"/>
  <c r="AM39"/>
  <c r="AQ39"/>
  <c r="AD40"/>
  <c r="AH40"/>
  <c r="AL40"/>
  <c r="AP40"/>
  <c r="AD42"/>
  <c r="AH42"/>
  <c r="AL42"/>
  <c r="AP42"/>
  <c r="AT42"/>
  <c r="AD44"/>
  <c r="AH44"/>
  <c r="AL44"/>
  <c r="AE45"/>
  <c r="AI45"/>
  <c r="AM45"/>
  <c r="F46"/>
  <c r="AF46"/>
  <c r="AJ46"/>
  <c r="AN46"/>
  <c r="AR46"/>
  <c r="AD47"/>
  <c r="AH47"/>
  <c r="AL47"/>
  <c r="F48"/>
  <c r="AF48"/>
  <c r="AJ48"/>
  <c r="AN48"/>
  <c r="AR48"/>
  <c r="AD49"/>
  <c r="AH49"/>
  <c r="AL49"/>
  <c r="AF50"/>
  <c r="AJ50"/>
  <c r="AN50"/>
  <c r="AR50"/>
  <c r="AD51"/>
  <c r="AH51"/>
  <c r="AL51"/>
  <c r="AF52"/>
  <c r="AJ52"/>
  <c r="AN52"/>
  <c r="AR52"/>
  <c r="AD55"/>
  <c r="AH55"/>
  <c r="AL55"/>
  <c r="AL56"/>
  <c r="AL57"/>
  <c r="AL58"/>
  <c r="AY58"/>
  <c r="AL59"/>
  <c r="AL60"/>
  <c r="AJ61"/>
  <c r="AN61"/>
  <c r="AL62"/>
  <c r="AE34"/>
  <c r="AI34"/>
  <c r="AM34"/>
  <c r="AD35"/>
  <c r="AH35"/>
  <c r="AL35"/>
  <c r="AP35"/>
  <c r="AE36"/>
  <c r="AI36"/>
  <c r="AM36"/>
  <c r="AE38"/>
  <c r="AI38"/>
  <c r="AM38"/>
  <c r="AD39"/>
  <c r="AH39"/>
  <c r="AL39"/>
  <c r="AP39"/>
  <c r="AC42"/>
  <c r="AG42"/>
  <c r="AK42"/>
  <c r="AO42"/>
  <c r="AD45"/>
  <c r="AH45"/>
  <c r="AL45"/>
  <c r="AE46"/>
  <c r="AI46"/>
  <c r="AM46"/>
  <c r="AE48"/>
  <c r="AI48"/>
  <c r="AM48"/>
  <c r="AE50"/>
  <c r="AI50"/>
  <c r="AM50"/>
  <c r="AE52"/>
  <c r="AI52"/>
  <c r="AM52"/>
  <c r="AI61"/>
  <c r="AM61"/>
  <c r="N87" l="1"/>
  <c r="O87" s="1"/>
  <c r="AC65"/>
  <c r="AJ65"/>
  <c r="BP27"/>
  <c r="BO27"/>
  <c r="E70"/>
  <c r="L86"/>
  <c r="M86" s="1"/>
  <c r="BO3"/>
  <c r="BP3"/>
  <c r="BQ2"/>
  <c r="AU69"/>
  <c r="N82" s="1"/>
  <c r="O82" s="1"/>
  <c r="AU73"/>
  <c r="AU71"/>
  <c r="N84" s="1"/>
  <c r="O84" s="1"/>
  <c r="AY66"/>
  <c r="AU72"/>
  <c r="N85" s="1"/>
  <c r="O85" s="1"/>
  <c r="AM65"/>
  <c r="AF65"/>
  <c r="AO65"/>
  <c r="AT65"/>
  <c r="Z69" s="1"/>
  <c r="Z71" s="1"/>
  <c r="AE65"/>
  <c r="AN65"/>
  <c r="AS65"/>
  <c r="Y69" s="1"/>
  <c r="Y71" s="1"/>
  <c r="AI65"/>
  <c r="AQ65"/>
  <c r="W69" s="1"/>
  <c r="W71" s="1"/>
  <c r="AR65"/>
  <c r="X69" s="1"/>
  <c r="X71" s="1"/>
  <c r="AK65"/>
  <c r="AG65"/>
  <c r="AU70"/>
  <c r="N83" s="1"/>
  <c r="O83" s="1"/>
  <c r="Q70"/>
  <c r="R70"/>
  <c r="S70"/>
  <c r="O70"/>
  <c r="T70"/>
  <c r="P70"/>
  <c r="L85"/>
  <c r="M85" s="1"/>
  <c r="L84"/>
  <c r="M84" s="1"/>
  <c r="AP65"/>
  <c r="V69" s="1"/>
  <c r="V71" s="1"/>
  <c r="L83"/>
  <c r="M83" s="1"/>
  <c r="AD65"/>
  <c r="AH65"/>
  <c r="AV71"/>
  <c r="AV70"/>
  <c r="AV73"/>
  <c r="AV72"/>
  <c r="Q87"/>
  <c r="AV69"/>
  <c r="L82"/>
  <c r="M82" s="1"/>
  <c r="AL65"/>
  <c r="U69" l="1"/>
  <c r="U71" s="1"/>
  <c r="BQ27"/>
  <c r="P69"/>
  <c r="P71" s="1"/>
  <c r="Q69"/>
  <c r="Q71" s="1"/>
  <c r="P86"/>
  <c r="Q86" s="1"/>
  <c r="N86"/>
  <c r="O86" s="1"/>
  <c r="S69"/>
  <c r="S71" s="1"/>
  <c r="BR2"/>
  <c r="BQ3"/>
  <c r="O69"/>
  <c r="O71" s="1"/>
  <c r="T69"/>
  <c r="T71" s="1"/>
  <c r="P85"/>
  <c r="Q85" s="1"/>
  <c r="R69"/>
  <c r="R71" s="1"/>
  <c r="P84"/>
  <c r="Q84" s="1"/>
  <c r="P82"/>
  <c r="Q82" s="1"/>
  <c r="P83"/>
  <c r="Q83" s="1"/>
  <c r="U72" l="1"/>
  <c r="AP73"/>
  <c r="U73" s="1"/>
  <c r="C16" s="1"/>
  <c r="BR27"/>
  <c r="O72"/>
  <c r="BS2"/>
  <c r="BR3"/>
  <c r="AJ73"/>
  <c r="BS27" l="1"/>
  <c r="O73"/>
  <c r="C15" s="1"/>
  <c r="BS3"/>
  <c r="BT2"/>
  <c r="BT27" l="1"/>
  <c r="BT3"/>
  <c r="BU2"/>
  <c r="BU27" l="1"/>
  <c r="BV2"/>
  <c r="BU3"/>
  <c r="BV27" l="1"/>
  <c r="BW2"/>
  <c r="BV3"/>
  <c r="BW27" l="1"/>
  <c r="BW3"/>
  <c r="BX2"/>
  <c r="BX27" l="1"/>
  <c r="BX3"/>
  <c r="BY2"/>
  <c r="BY27" l="1"/>
  <c r="BZ2"/>
  <c r="BY3"/>
  <c r="BZ27" l="1"/>
  <c r="BZ3"/>
  <c r="CA27" l="1"/>
  <c r="CA3"/>
  <c r="O173" i="4" l="1"/>
  <c r="O172"/>
  <c r="AN133"/>
  <c r="O171"/>
  <c r="AN132"/>
  <c r="O170"/>
  <c r="AN131"/>
  <c r="AN130"/>
  <c r="AN129"/>
  <c r="O167"/>
  <c r="AN128"/>
  <c r="O166"/>
  <c r="AQ127"/>
  <c r="AP127"/>
  <c r="AN127"/>
  <c r="O165"/>
  <c r="AQ126"/>
  <c r="AP126"/>
  <c r="AN126"/>
  <c r="O164"/>
  <c r="AQ125"/>
  <c r="AP125"/>
  <c r="AN125"/>
  <c r="O163"/>
  <c r="AQ124"/>
  <c r="AP124"/>
  <c r="AN124"/>
  <c r="AQ123"/>
  <c r="AP123"/>
  <c r="AN123"/>
  <c r="AQ122"/>
  <c r="AP122"/>
  <c r="AN122"/>
  <c r="M158"/>
  <c r="O158" s="1"/>
  <c r="AQ121"/>
  <c r="AP121"/>
  <c r="O157"/>
  <c r="AQ120"/>
  <c r="AP120"/>
  <c r="AN120"/>
  <c r="O156"/>
  <c r="AQ119"/>
  <c r="AP119"/>
  <c r="AN119"/>
  <c r="O155"/>
  <c r="AQ118"/>
  <c r="AP118"/>
  <c r="AN118"/>
  <c r="O154"/>
  <c r="AQ117"/>
  <c r="AP117"/>
  <c r="AN117"/>
  <c r="O153"/>
  <c r="AQ116"/>
  <c r="AP116"/>
  <c r="AQ115"/>
  <c r="AP115"/>
  <c r="AN115"/>
  <c r="O147"/>
  <c r="AQ114"/>
  <c r="AP114"/>
  <c r="O146"/>
  <c r="AQ113"/>
  <c r="AP113"/>
  <c r="AN113"/>
  <c r="O145"/>
  <c r="AQ112"/>
  <c r="AP112"/>
  <c r="AQ111"/>
  <c r="AP111"/>
  <c r="O143"/>
  <c r="AQ110"/>
  <c r="AP110"/>
  <c r="AN110"/>
  <c r="O142"/>
  <c r="AQ109"/>
  <c r="AP109"/>
  <c r="AN109"/>
  <c r="O141"/>
  <c r="AQ108"/>
  <c r="AP108"/>
  <c r="AN108"/>
  <c r="AQ107"/>
  <c r="AP107"/>
  <c r="AN107"/>
  <c r="O139"/>
  <c r="AQ106"/>
  <c r="AP106"/>
  <c r="AN106"/>
  <c r="O138"/>
  <c r="AQ105"/>
  <c r="AP105"/>
  <c r="AN105"/>
  <c r="O137"/>
  <c r="AQ104"/>
  <c r="AP104"/>
  <c r="AN104"/>
  <c r="O136"/>
  <c r="K136"/>
  <c r="AQ103"/>
  <c r="AP103"/>
  <c r="O135"/>
  <c r="AQ102"/>
  <c r="AP102"/>
  <c r="O134"/>
  <c r="AQ101"/>
  <c r="AP101"/>
  <c r="AN101"/>
  <c r="O133"/>
  <c r="AQ100"/>
  <c r="AP100"/>
  <c r="AN100"/>
  <c r="O132"/>
  <c r="AQ99"/>
  <c r="AP99"/>
  <c r="AN99"/>
  <c r="O131"/>
  <c r="AQ98"/>
  <c r="AP98"/>
  <c r="AN98"/>
  <c r="AQ97"/>
  <c r="AP97"/>
  <c r="AN97"/>
  <c r="O122"/>
  <c r="AQ96"/>
  <c r="AP96"/>
  <c r="AN96"/>
  <c r="O121"/>
  <c r="AQ95"/>
  <c r="AP95"/>
  <c r="AN95"/>
  <c r="O120"/>
  <c r="AQ94"/>
  <c r="AP94"/>
  <c r="AN94"/>
  <c r="O119"/>
  <c r="AQ93"/>
  <c r="AP93"/>
  <c r="AN93"/>
  <c r="O118"/>
  <c r="AQ92"/>
  <c r="AP92"/>
  <c r="AN92"/>
  <c r="O117"/>
  <c r="AQ91"/>
  <c r="AP91"/>
  <c r="AN91"/>
  <c r="O116"/>
  <c r="AQ90"/>
  <c r="AP90"/>
  <c r="AN90"/>
  <c r="O115"/>
  <c r="AQ89"/>
  <c r="AP89"/>
  <c r="AN89"/>
  <c r="O114"/>
  <c r="AQ88"/>
  <c r="AP88"/>
  <c r="AN88"/>
  <c r="AQ87"/>
  <c r="AP87"/>
  <c r="AN87"/>
  <c r="O110"/>
  <c r="G87"/>
  <c r="AW62" i="5" s="1"/>
  <c r="AZ62" s="1"/>
  <c r="AQ86" i="4"/>
  <c r="AP86"/>
  <c r="AN86"/>
  <c r="O109"/>
  <c r="G86"/>
  <c r="AW61" i="5" s="1"/>
  <c r="AZ61" s="1"/>
  <c r="AU61"/>
  <c r="C63" s="1"/>
  <c r="AQ85" i="4"/>
  <c r="AP85"/>
  <c r="AN85"/>
  <c r="O108"/>
  <c r="G85"/>
  <c r="AW60" i="5" s="1"/>
  <c r="AZ60" s="1"/>
  <c r="AQ84" i="4"/>
  <c r="AP84"/>
  <c r="AN84"/>
  <c r="O107"/>
  <c r="G84"/>
  <c r="AW59" i="5" s="1"/>
  <c r="AZ59" s="1"/>
  <c r="AQ83" i="4"/>
  <c r="AP83"/>
  <c r="AN83"/>
  <c r="O106"/>
  <c r="G83"/>
  <c r="AW58" i="5" s="1"/>
  <c r="AZ58" s="1"/>
  <c r="AQ82" i="4"/>
  <c r="AP82"/>
  <c r="AN82"/>
  <c r="O105"/>
  <c r="G82"/>
  <c r="AW57" i="5" s="1"/>
  <c r="AZ57" s="1"/>
  <c r="AQ81" i="4"/>
  <c r="AP81"/>
  <c r="AN81"/>
  <c r="O104"/>
  <c r="G81"/>
  <c r="AW56" i="5" s="1"/>
  <c r="AZ56" s="1"/>
  <c r="AQ80" i="4"/>
  <c r="AP80"/>
  <c r="O103"/>
  <c r="G80"/>
  <c r="AW55" i="5" s="1"/>
  <c r="AZ55" s="1"/>
  <c r="AQ79" i="4"/>
  <c r="AP79"/>
  <c r="AN79"/>
  <c r="O102"/>
  <c r="G79"/>
  <c r="AW54" i="5" s="1"/>
  <c r="AZ54" s="1"/>
  <c r="AQ78" i="4"/>
  <c r="AP78"/>
  <c r="AN78"/>
  <c r="O101"/>
  <c r="G78"/>
  <c r="AW53" i="5" s="1"/>
  <c r="AZ53" s="1"/>
  <c r="AQ77" i="4"/>
  <c r="AP77"/>
  <c r="AN77"/>
  <c r="O100"/>
  <c r="G77"/>
  <c r="AW52" i="5" s="1"/>
  <c r="AZ52" s="1"/>
  <c r="AQ76" i="4"/>
  <c r="AP76"/>
  <c r="AN76"/>
  <c r="G76"/>
  <c r="AW51" i="5" s="1"/>
  <c r="AZ51" s="1"/>
  <c r="AQ75" i="4"/>
  <c r="AP75"/>
  <c r="AN75"/>
  <c r="O91"/>
  <c r="G75"/>
  <c r="AW50" i="5" s="1"/>
  <c r="AZ50" s="1"/>
  <c r="AQ74" i="4"/>
  <c r="AP74"/>
  <c r="AN74"/>
  <c r="O90"/>
  <c r="G74"/>
  <c r="AW49" i="5" s="1"/>
  <c r="AZ49" s="1"/>
  <c r="AQ73" i="4"/>
  <c r="AP73"/>
  <c r="AN73"/>
  <c r="O89"/>
  <c r="G73"/>
  <c r="AW48" i="5" s="1"/>
  <c r="AZ48" s="1"/>
  <c r="AQ72" i="4"/>
  <c r="AP72"/>
  <c r="AN72"/>
  <c r="O88"/>
  <c r="G72"/>
  <c r="AW47" i="5" s="1"/>
  <c r="AZ47" s="1"/>
  <c r="AQ71" i="4"/>
  <c r="AP71"/>
  <c r="AN71"/>
  <c r="O87"/>
  <c r="G71"/>
  <c r="AW46" i="5" s="1"/>
  <c r="AZ46" s="1"/>
  <c r="AQ70" i="4"/>
  <c r="AP70"/>
  <c r="AN70"/>
  <c r="O86"/>
  <c r="G70"/>
  <c r="AW45" i="5" s="1"/>
  <c r="AZ45" s="1"/>
  <c r="AQ69" i="4"/>
  <c r="AP69"/>
  <c r="AN69"/>
  <c r="O85"/>
  <c r="G69"/>
  <c r="AW44" i="5" s="1"/>
  <c r="AZ44" s="1"/>
  <c r="AQ68" i="4"/>
  <c r="AP68"/>
  <c r="O84"/>
  <c r="G68"/>
  <c r="AW43" i="5" s="1"/>
  <c r="AZ43" s="1"/>
  <c r="AQ67" i="4"/>
  <c r="AP67"/>
  <c r="AN67"/>
  <c r="O83"/>
  <c r="G67"/>
  <c r="AW42" i="5" s="1"/>
  <c r="AZ42" s="1"/>
  <c r="AQ66" i="4"/>
  <c r="AP66"/>
  <c r="AN66"/>
  <c r="G66"/>
  <c r="AW41" i="5" s="1"/>
  <c r="AZ41" s="1"/>
  <c r="AQ65" i="4"/>
  <c r="AP65"/>
  <c r="AN65"/>
  <c r="O65"/>
  <c r="G65"/>
  <c r="AW40" i="5" s="1"/>
  <c r="AZ40" s="1"/>
  <c r="AQ64" i="4"/>
  <c r="AP64"/>
  <c r="AN64"/>
  <c r="O64"/>
  <c r="G64"/>
  <c r="AW39" i="5" s="1"/>
  <c r="AZ39" s="1"/>
  <c r="AQ63" i="4"/>
  <c r="AP63"/>
  <c r="AN63"/>
  <c r="O63"/>
  <c r="G63"/>
  <c r="AW38" i="5" s="1"/>
  <c r="AZ38" s="1"/>
  <c r="AQ62" i="4"/>
  <c r="AP62"/>
  <c r="AN62"/>
  <c r="O62"/>
  <c r="G62"/>
  <c r="AW37" i="5" s="1"/>
  <c r="AZ37" s="1"/>
  <c r="AQ61" i="4"/>
  <c r="AP61"/>
  <c r="AN61"/>
  <c r="O61"/>
  <c r="G61"/>
  <c r="AW36" i="5" s="1"/>
  <c r="AZ36" s="1"/>
  <c r="AQ60" i="4"/>
  <c r="AP60"/>
  <c r="AN60"/>
  <c r="O60"/>
  <c r="G60"/>
  <c r="AW35" i="5" s="1"/>
  <c r="AZ35" s="1"/>
  <c r="AQ59" i="4"/>
  <c r="AP59"/>
  <c r="O59"/>
  <c r="G59"/>
  <c r="AW34" i="5" s="1"/>
  <c r="AZ34" s="1"/>
  <c r="AQ58" i="4"/>
  <c r="AP58"/>
  <c r="O58"/>
  <c r="G58"/>
  <c r="AW33" i="5" s="1"/>
  <c r="AZ33" s="1"/>
  <c r="AQ57" i="4"/>
  <c r="AP57"/>
  <c r="O57"/>
  <c r="G57"/>
  <c r="AW32" i="5" s="1"/>
  <c r="AZ32" s="1"/>
  <c r="AQ56" i="4"/>
  <c r="AP56"/>
  <c r="AQ55"/>
  <c r="AP55"/>
  <c r="AQ54"/>
  <c r="AP54"/>
  <c r="AQ53"/>
  <c r="AP53"/>
  <c r="AN53"/>
  <c r="AQ52"/>
  <c r="AP52"/>
  <c r="AQ51"/>
  <c r="AP51"/>
  <c r="AN51"/>
  <c r="AD61"/>
  <c r="S51"/>
  <c r="Q51"/>
  <c r="AQ50"/>
  <c r="AP50"/>
  <c r="AN50"/>
  <c r="AD59"/>
  <c r="AQ49"/>
  <c r="AP49"/>
  <c r="AN49"/>
  <c r="AD58"/>
  <c r="AQ48"/>
  <c r="AP48"/>
  <c r="AN48"/>
  <c r="AD57"/>
  <c r="AQ47"/>
  <c r="AP47"/>
  <c r="AN47"/>
  <c r="AD56"/>
  <c r="AQ46"/>
  <c r="AP46"/>
  <c r="AN46"/>
  <c r="AQ45"/>
  <c r="AP45"/>
  <c r="AN45"/>
  <c r="AD53"/>
  <c r="AQ44"/>
  <c r="AP44"/>
  <c r="AN44"/>
  <c r="AD52"/>
  <c r="AQ43"/>
  <c r="AP43"/>
  <c r="AN43"/>
  <c r="AD51"/>
  <c r="AQ42"/>
  <c r="AP42"/>
  <c r="AD49"/>
  <c r="AQ41"/>
  <c r="AP41"/>
  <c r="AD48"/>
  <c r="AD45"/>
  <c r="AQ39"/>
  <c r="AP39"/>
  <c r="AN39"/>
  <c r="AD43"/>
  <c r="AQ38"/>
  <c r="AP38"/>
  <c r="AN38"/>
  <c r="AD42"/>
  <c r="AQ37"/>
  <c r="AP37"/>
  <c r="AN37"/>
  <c r="AQ36"/>
  <c r="AP36"/>
  <c r="AN36"/>
  <c r="AQ35"/>
  <c r="AP35"/>
  <c r="AN35"/>
  <c r="AQ34"/>
  <c r="AP34"/>
  <c r="AN34"/>
  <c r="AQ33"/>
  <c r="AP33"/>
  <c r="AQ32"/>
  <c r="AP32"/>
  <c r="AQ31"/>
  <c r="AP31"/>
  <c r="AQ30"/>
  <c r="AP30"/>
  <c r="AQ28"/>
  <c r="AP28"/>
  <c r="AN28"/>
  <c r="AQ27"/>
  <c r="AP27"/>
  <c r="AN27"/>
  <c r="AQ26"/>
  <c r="AP26"/>
  <c r="AN26"/>
  <c r="AQ25"/>
  <c r="AP25"/>
  <c r="AN25"/>
  <c r="AQ24"/>
  <c r="AP24"/>
  <c r="AQ23"/>
  <c r="AP23"/>
  <c r="AN23"/>
  <c r="AQ22"/>
  <c r="AP22"/>
  <c r="AN22"/>
  <c r="AQ21"/>
  <c r="AP21"/>
  <c r="AN21"/>
  <c r="AQ20"/>
  <c r="AP20"/>
  <c r="AN20"/>
  <c r="AQ19"/>
  <c r="AP19"/>
  <c r="AN19"/>
  <c r="AQ18"/>
  <c r="AP18"/>
  <c r="AN18"/>
  <c r="AQ17"/>
  <c r="AP17"/>
  <c r="AN17"/>
  <c r="AQ16"/>
  <c r="AP16"/>
  <c r="AQ15"/>
  <c r="AP15"/>
  <c r="AN15"/>
  <c r="AQ14"/>
  <c r="AP14"/>
  <c r="AN14"/>
  <c r="AQ13"/>
  <c r="AN13"/>
  <c r="AQ12"/>
  <c r="AQ11"/>
  <c r="AP11"/>
  <c r="AN11"/>
  <c r="AQ10"/>
  <c r="AP10"/>
  <c r="AN10"/>
  <c r="AQ9"/>
  <c r="AP9"/>
  <c r="AN9"/>
  <c r="AQ8"/>
  <c r="AP8"/>
  <c r="AQ7"/>
  <c r="AP7"/>
  <c r="AN7"/>
  <c r="AQ6"/>
  <c r="AP6"/>
  <c r="AN6"/>
  <c r="AQ5"/>
  <c r="AP5"/>
  <c r="AN5"/>
  <c r="AF3"/>
  <c r="AG26" i="38" l="1"/>
  <c r="AH109"/>
  <c r="AK109" s="1"/>
  <c r="AH68"/>
  <c r="AK68" s="1"/>
  <c r="AW185"/>
  <c r="AZ185" s="1"/>
  <c r="AW186"/>
  <c r="AZ186" s="1"/>
  <c r="AH69"/>
  <c r="AK69" s="1"/>
  <c r="AG27"/>
  <c r="AH111"/>
  <c r="AK111" s="1"/>
  <c r="AH113"/>
  <c r="AK113" s="1"/>
  <c r="AW188"/>
  <c r="AZ188" s="1"/>
  <c r="AH71"/>
  <c r="AK71" s="1"/>
  <c r="AG29"/>
  <c r="AH124"/>
  <c r="AK124" s="1"/>
  <c r="AW199"/>
  <c r="AZ199" s="1"/>
  <c r="AF155"/>
  <c r="AH82"/>
  <c r="AK82" s="1"/>
  <c r="AG40"/>
  <c r="AH125"/>
  <c r="AK125" s="1"/>
  <c r="AW200"/>
  <c r="AZ200" s="1"/>
  <c r="AF156"/>
  <c r="AH83"/>
  <c r="AK83" s="1"/>
  <c r="AG41"/>
  <c r="AW201"/>
  <c r="AZ201" s="1"/>
  <c r="AF157"/>
  <c r="AH126"/>
  <c r="AK126" s="1"/>
  <c r="AH84"/>
  <c r="AK84" s="1"/>
  <c r="AG42"/>
  <c r="AW202"/>
  <c r="AZ202" s="1"/>
  <c r="AF158"/>
  <c r="AH127"/>
  <c r="AK127" s="1"/>
  <c r="AH85"/>
  <c r="AK85" s="1"/>
  <c r="AG43"/>
  <c r="C207"/>
  <c r="C165"/>
  <c r="C132"/>
  <c r="C90"/>
  <c r="C48"/>
  <c r="D48"/>
  <c r="E165"/>
  <c r="E90"/>
  <c r="E48"/>
  <c r="AH129"/>
  <c r="AK129" s="1"/>
  <c r="AW204"/>
  <c r="AZ204" s="1"/>
  <c r="AF160"/>
  <c r="AH87"/>
  <c r="AK87" s="1"/>
  <c r="AG45"/>
  <c r="AH116"/>
  <c r="AK116" s="1"/>
  <c r="AW191"/>
  <c r="AZ191" s="1"/>
  <c r="AH74"/>
  <c r="AK74" s="1"/>
  <c r="AG32"/>
  <c r="AF148"/>
  <c r="AH117"/>
  <c r="AK117" s="1"/>
  <c r="AF149"/>
  <c r="AW192"/>
  <c r="AZ192" s="1"/>
  <c r="AH75"/>
  <c r="AK75" s="1"/>
  <c r="AG33"/>
  <c r="AW194"/>
  <c r="AZ194" s="1"/>
  <c r="AF150"/>
  <c r="AH119"/>
  <c r="AK119" s="1"/>
  <c r="AH77"/>
  <c r="AK77" s="1"/>
  <c r="AG35"/>
  <c r="AH120"/>
  <c r="AK120" s="1"/>
  <c r="AW195"/>
  <c r="AZ195" s="1"/>
  <c r="AF151"/>
  <c r="AH78"/>
  <c r="AK78" s="1"/>
  <c r="AG36"/>
  <c r="AH121"/>
  <c r="AK121" s="1"/>
  <c r="AW196"/>
  <c r="AZ196" s="1"/>
  <c r="AF152"/>
  <c r="AH79"/>
  <c r="AK79" s="1"/>
  <c r="AG37"/>
  <c r="C69" i="5"/>
  <c r="G13" s="1"/>
  <c r="H13" s="1"/>
  <c r="AX61"/>
  <c r="I67" s="1"/>
  <c r="AD17"/>
  <c r="AS33" i="38" l="1"/>
  <c r="AO33"/>
  <c r="AK33"/>
  <c r="AK160"/>
  <c r="AO160"/>
  <c r="AK152"/>
  <c r="AO152"/>
  <c r="AO35"/>
  <c r="AK35"/>
  <c r="AS35"/>
  <c r="AK149"/>
  <c r="AO149"/>
  <c r="AO41"/>
  <c r="AK41"/>
  <c r="AS41"/>
  <c r="AK42"/>
  <c r="AO42"/>
  <c r="AS42"/>
  <c r="AK155"/>
  <c r="AO155"/>
  <c r="AK27"/>
  <c r="AS27"/>
  <c r="AO27"/>
  <c r="AO151"/>
  <c r="AK151"/>
  <c r="AK158"/>
  <c r="AO158"/>
  <c r="AS40"/>
  <c r="AK40"/>
  <c r="AO40"/>
  <c r="AO26"/>
  <c r="AS26"/>
  <c r="AK26"/>
  <c r="AO36"/>
  <c r="AS36"/>
  <c r="AK36"/>
  <c r="AO150"/>
  <c r="AK150"/>
  <c r="AK32"/>
  <c r="AS32"/>
  <c r="AO32"/>
  <c r="AK45"/>
  <c r="AO45"/>
  <c r="AS45"/>
  <c r="AS37"/>
  <c r="AO37"/>
  <c r="AK37"/>
  <c r="AO148"/>
  <c r="AK148"/>
  <c r="AS43"/>
  <c r="AO43"/>
  <c r="AK43"/>
  <c r="AK157"/>
  <c r="AO157"/>
  <c r="AK156"/>
  <c r="AO156"/>
  <c r="AK29"/>
  <c r="AO29"/>
  <c r="AS29"/>
  <c r="C105"/>
  <c r="C106"/>
  <c r="C182"/>
  <c r="C181"/>
  <c r="C63"/>
  <c r="C62"/>
  <c r="D17" i="5"/>
  <c r="C17"/>
  <c r="F69"/>
  <c r="AY70"/>
  <c r="AY61"/>
  <c r="D63"/>
  <c r="AY71"/>
  <c r="F61"/>
  <c r="F62" l="1"/>
  <c r="F57"/>
  <c r="E22" i="38"/>
  <c r="E21"/>
  <c r="E145"/>
  <c r="E146"/>
  <c r="C22"/>
  <c r="C21"/>
  <c r="C146"/>
  <c r="C145"/>
  <c r="D22"/>
  <c r="D21"/>
  <c r="F59" i="5"/>
  <c r="F60"/>
  <c r="C10"/>
  <c r="F34"/>
  <c r="F52"/>
  <c r="AD15"/>
  <c r="D15" s="1"/>
  <c r="AD16"/>
  <c r="D16" s="1"/>
  <c r="G10"/>
  <c r="AY67"/>
  <c r="AY72" s="1"/>
  <c r="C73" s="1"/>
  <c r="AY68"/>
  <c r="AY73" s="1"/>
  <c r="G11" s="1"/>
  <c r="F50"/>
  <c r="F32"/>
  <c r="F51"/>
  <c r="F65"/>
  <c r="F58"/>
  <c r="M70"/>
  <c r="M69" s="1"/>
  <c r="M71" s="1"/>
  <c r="K70"/>
  <c r="K69" s="1"/>
  <c r="K71" s="1"/>
  <c r="J70"/>
  <c r="J69" s="1"/>
  <c r="J71" s="1"/>
  <c r="I70"/>
  <c r="I69" s="1"/>
  <c r="I71" s="1"/>
  <c r="N70"/>
  <c r="N69" s="1"/>
  <c r="N71" s="1"/>
  <c r="L70"/>
  <c r="L69" s="1"/>
  <c r="L71" s="1"/>
  <c r="I72" l="1"/>
  <c r="F73"/>
  <c r="C11"/>
  <c r="C12" s="1"/>
  <c r="AD14"/>
  <c r="D14" s="1"/>
  <c r="AD12"/>
  <c r="L14" s="1"/>
  <c r="L16" s="1"/>
  <c r="F70"/>
  <c r="AD73"/>
  <c r="I73" s="1"/>
  <c r="AD11"/>
  <c r="G12"/>
  <c r="N14" l="1"/>
  <c r="N16" s="1"/>
  <c r="P14"/>
  <c r="P16" s="1"/>
  <c r="C14"/>
  <c r="N13"/>
  <c r="L13"/>
  <c r="L15" s="1"/>
  <c r="P13"/>
  <c r="N17"/>
  <c r="L17"/>
  <c r="P17"/>
  <c r="N15" l="1"/>
  <c r="P15"/>
  <c r="BL4" l="1"/>
  <c r="BN4" l="1"/>
  <c r="BP4"/>
  <c r="BO4"/>
  <c r="BQ4"/>
  <c r="BR4"/>
  <c r="BS4"/>
  <c r="BT4"/>
  <c r="BU4"/>
  <c r="BV4"/>
  <c r="BW4"/>
  <c r="BX4"/>
  <c r="BY4"/>
  <c r="BZ4"/>
  <c r="CA4"/>
  <c r="BM4"/>
  <c r="BL5"/>
  <c r="BN5" l="1"/>
  <c r="BP5"/>
  <c r="BO5"/>
  <c r="BQ5"/>
  <c r="BR5"/>
  <c r="BS5"/>
  <c r="BT5"/>
  <c r="BU5"/>
  <c r="BV5"/>
  <c r="BW5"/>
  <c r="BX5"/>
  <c r="BY5"/>
  <c r="BZ5"/>
  <c r="CA5"/>
  <c r="BM5"/>
  <c r="BL6"/>
  <c r="BN6" l="1"/>
  <c r="BP6"/>
  <c r="BO6"/>
  <c r="BQ6"/>
  <c r="BR6"/>
  <c r="BS6"/>
  <c r="BT6"/>
  <c r="BU6"/>
  <c r="BV6"/>
  <c r="BW6"/>
  <c r="BX6"/>
  <c r="BY6"/>
  <c r="BZ6"/>
  <c r="CA6"/>
  <c r="BM6"/>
  <c r="BL7"/>
  <c r="BN7" l="1"/>
  <c r="BP7"/>
  <c r="BO7"/>
  <c r="BQ7"/>
  <c r="BR7"/>
  <c r="BS7"/>
  <c r="BT7"/>
  <c r="BU7"/>
  <c r="BV7"/>
  <c r="BW7"/>
  <c r="BX7"/>
  <c r="BY7"/>
  <c r="BZ7"/>
  <c r="CA7"/>
  <c r="BM7"/>
  <c r="BL8"/>
  <c r="CA8" s="1"/>
  <c r="BN8" l="1"/>
  <c r="BP8"/>
  <c r="BO8"/>
  <c r="BQ8"/>
  <c r="BR8"/>
  <c r="BS8"/>
  <c r="BT8"/>
  <c r="BU8"/>
  <c r="BV8"/>
  <c r="BW8"/>
  <c r="BX8"/>
  <c r="BY8"/>
  <c r="BZ8"/>
  <c r="BM8"/>
  <c r="BL9"/>
  <c r="BN9" l="1"/>
  <c r="BP9"/>
  <c r="BO9"/>
  <c r="BQ9"/>
  <c r="BR9"/>
  <c r="BS9"/>
  <c r="BT9"/>
  <c r="BU9"/>
  <c r="BV9"/>
  <c r="BW9"/>
  <c r="BX9"/>
  <c r="BY9"/>
  <c r="BZ9"/>
  <c r="CA9"/>
  <c r="BM9"/>
  <c r="BL10"/>
  <c r="BN10" l="1"/>
  <c r="BP10"/>
  <c r="BO10"/>
  <c r="BQ10"/>
  <c r="BR10"/>
  <c r="BS10"/>
  <c r="BT10"/>
  <c r="BU10"/>
  <c r="BV10"/>
  <c r="BW10"/>
  <c r="BX10"/>
  <c r="BY10"/>
  <c r="BZ10"/>
  <c r="CA10"/>
  <c r="BM10"/>
  <c r="BL11"/>
  <c r="BN11" l="1"/>
  <c r="BP11"/>
  <c r="BO11"/>
  <c r="BQ11"/>
  <c r="BR11"/>
  <c r="BS11"/>
  <c r="BT11"/>
  <c r="BU11"/>
  <c r="BV11"/>
  <c r="BW11"/>
  <c r="BX11"/>
  <c r="BY11"/>
  <c r="BZ11"/>
  <c r="CA11"/>
  <c r="BM11"/>
  <c r="BL12"/>
  <c r="BN12" l="1"/>
  <c r="BP12"/>
  <c r="BO12"/>
  <c r="BQ12"/>
  <c r="BR12"/>
  <c r="BS12"/>
  <c r="BT12"/>
  <c r="BU12"/>
  <c r="BV12"/>
  <c r="BW12"/>
  <c r="BX12"/>
  <c r="BY12"/>
  <c r="BZ12"/>
  <c r="CA12"/>
  <c r="BM12"/>
  <c r="BL13"/>
  <c r="BN13" l="1"/>
  <c r="BP13"/>
  <c r="BO13"/>
  <c r="BQ13"/>
  <c r="BR13"/>
  <c r="BS13"/>
  <c r="BT13"/>
  <c r="BU13"/>
  <c r="BV13"/>
  <c r="BW13"/>
  <c r="BX13"/>
  <c r="BY13"/>
  <c r="BZ13"/>
  <c r="CA13"/>
  <c r="BM13"/>
  <c r="BL14"/>
  <c r="BN14" l="1"/>
  <c r="BP14"/>
  <c r="BO14"/>
  <c r="BQ14"/>
  <c r="BR14"/>
  <c r="BS14"/>
  <c r="BT14"/>
  <c r="BU14"/>
  <c r="BV14"/>
  <c r="BW14"/>
  <c r="BX14"/>
  <c r="BY14"/>
  <c r="BZ14"/>
  <c r="CA14"/>
  <c r="BM14"/>
  <c r="BL15"/>
  <c r="BN15" l="1"/>
  <c r="BP15"/>
  <c r="BO15"/>
  <c r="BQ15"/>
  <c r="BR15"/>
  <c r="BS15"/>
  <c r="BT15"/>
  <c r="BU15"/>
  <c r="BV15"/>
  <c r="BW15"/>
  <c r="BX15"/>
  <c r="BY15"/>
  <c r="BZ15"/>
  <c r="CA15"/>
  <c r="BM15"/>
  <c r="BL16"/>
  <c r="BN16" l="1"/>
  <c r="BP16"/>
  <c r="BO16"/>
  <c r="BQ16"/>
  <c r="BR16"/>
  <c r="BS16"/>
  <c r="BT16"/>
  <c r="BU16"/>
  <c r="BV16"/>
  <c r="BW16"/>
  <c r="BX16"/>
  <c r="BY16"/>
  <c r="BZ16"/>
  <c r="CA16"/>
  <c r="BM16"/>
  <c r="BL17"/>
  <c r="BN17" l="1"/>
  <c r="BP17"/>
  <c r="BO17"/>
  <c r="BQ17"/>
  <c r="BR17"/>
  <c r="BS17"/>
  <c r="BT17"/>
  <c r="BU17"/>
  <c r="BV17"/>
  <c r="BW17"/>
  <c r="BX17"/>
  <c r="BY17"/>
  <c r="BZ17"/>
  <c r="CA17"/>
  <c r="BM17"/>
  <c r="BL18"/>
  <c r="BN18" l="1"/>
  <c r="BP18"/>
  <c r="BO18"/>
  <c r="BQ18"/>
  <c r="BR18"/>
  <c r="BS18"/>
  <c r="BT18"/>
  <c r="BU18"/>
  <c r="BV18"/>
  <c r="BW18"/>
  <c r="BX18"/>
  <c r="BY18"/>
  <c r="BZ18"/>
  <c r="CA18"/>
  <c r="BM18"/>
  <c r="BL19"/>
  <c r="BN19" l="1"/>
  <c r="BP19"/>
  <c r="BO19"/>
  <c r="BQ19"/>
  <c r="BR19"/>
  <c r="BS19"/>
  <c r="BT19"/>
  <c r="BU19"/>
  <c r="BV19"/>
  <c r="BW19"/>
  <c r="BX19"/>
  <c r="BY19"/>
  <c r="BZ19"/>
  <c r="CA19"/>
  <c r="BM19"/>
  <c r="BL20"/>
  <c r="BN20" l="1"/>
  <c r="BP20"/>
  <c r="BO20"/>
  <c r="BQ20"/>
  <c r="BR20"/>
  <c r="BS20"/>
  <c r="BT20"/>
  <c r="BU20"/>
  <c r="BV20"/>
  <c r="BW20"/>
  <c r="BX20"/>
  <c r="BY20"/>
  <c r="BZ20"/>
  <c r="CA20"/>
  <c r="BM20"/>
  <c r="BL21"/>
  <c r="BN21" l="1"/>
  <c r="BP21"/>
  <c r="BO21"/>
  <c r="BQ21"/>
  <c r="BR21"/>
  <c r="BS21"/>
  <c r="BT21"/>
  <c r="BU21"/>
  <c r="BV21"/>
  <c r="BW21"/>
  <c r="BX21"/>
  <c r="BY21"/>
  <c r="BZ21"/>
  <c r="CA21"/>
  <c r="BL22"/>
  <c r="BM21"/>
  <c r="BN22" l="1"/>
  <c r="BP22"/>
  <c r="BO22"/>
  <c r="BQ22"/>
  <c r="BR22"/>
  <c r="BS22"/>
  <c r="BT22"/>
  <c r="BU22"/>
  <c r="BV22"/>
  <c r="BW22"/>
  <c r="BX22"/>
  <c r="BY22"/>
  <c r="BZ22"/>
  <c r="CA22"/>
  <c r="BL23"/>
  <c r="BM22"/>
  <c r="BN23" l="1"/>
  <c r="BP23"/>
  <c r="BO23"/>
  <c r="BQ23"/>
  <c r="BR23"/>
  <c r="BS23"/>
  <c r="BT23"/>
  <c r="BU23"/>
  <c r="BV23"/>
  <c r="BW23"/>
  <c r="BX23"/>
  <c r="BY23"/>
  <c r="BZ23"/>
  <c r="CA23"/>
  <c r="BM23"/>
  <c r="BL24"/>
  <c r="BN24" l="1"/>
  <c r="BP24"/>
  <c r="BO24"/>
  <c r="BQ24"/>
  <c r="BR24"/>
  <c r="BS24"/>
  <c r="BT24"/>
  <c r="BU24"/>
  <c r="BV24"/>
  <c r="BW24"/>
  <c r="BX24"/>
  <c r="BY24"/>
  <c r="BZ24"/>
  <c r="CA24"/>
  <c r="BM24"/>
  <c r="BL25"/>
  <c r="BL26" s="1"/>
  <c r="BN25" l="1"/>
  <c r="BP25"/>
  <c r="BO25"/>
  <c r="BQ25"/>
  <c r="BR25"/>
  <c r="BS25"/>
  <c r="BT25"/>
  <c r="BU25"/>
  <c r="BV25"/>
  <c r="BW25"/>
  <c r="BX25"/>
  <c r="BY25"/>
  <c r="BZ25"/>
  <c r="CA25"/>
  <c r="BM25"/>
  <c r="BN26" l="1"/>
  <c r="BP26"/>
  <c r="BO26"/>
  <c r="BQ26"/>
  <c r="BR26"/>
  <c r="BS26"/>
  <c r="BT26"/>
  <c r="BU26"/>
  <c r="BV26"/>
  <c r="BW26"/>
  <c r="BX26"/>
  <c r="BY26"/>
  <c r="BZ26"/>
  <c r="CA26"/>
  <c r="BM26"/>
  <c r="BM27" l="1"/>
  <c r="F21" i="39" l="1"/>
  <c r="E23"/>
  <c r="E22" l="1"/>
  <c r="E24"/>
</calcChain>
</file>

<file path=xl/sharedStrings.xml><?xml version="1.0" encoding="utf-8"?>
<sst xmlns="http://schemas.openxmlformats.org/spreadsheetml/2006/main" count="5031" uniqueCount="1953">
  <si>
    <t>H</t>
  </si>
  <si>
    <t>www.PetesPintPot.co.uk</t>
  </si>
  <si>
    <t>Figures used in all calculations</t>
  </si>
  <si>
    <t>To amend ̸ modify any data, please refer to the "Technical Section".</t>
  </si>
  <si>
    <t>Initial vol.</t>
  </si>
  <si>
    <t>Brewing ̸ resting temp.</t>
  </si>
  <si>
    <r>
      <rPr>
        <sz val="11"/>
        <color indexed="8"/>
        <rFont val="Times New Roman"/>
        <family val="1"/>
      </rPr>
      <t>°</t>
    </r>
    <r>
      <rPr>
        <sz val="10"/>
        <color indexed="8"/>
        <rFont val="Times New Roman"/>
        <family val="1"/>
      </rPr>
      <t>C (0-30)</t>
    </r>
  </si>
  <si>
    <t xml:space="preserve">    Denotes "editable" cells, add your own data.</t>
  </si>
  <si>
    <t>Extract Efficiency</t>
  </si>
  <si>
    <t>%  (Used for coloured malts - 75% nominally is assumed).</t>
  </si>
  <si>
    <t xml:space="preserve">SUMMARY FOR </t>
  </si>
  <si>
    <t>Targets</t>
  </si>
  <si>
    <t>CALORIE ̸ CARBOHYDRATE &amp; UNIT DATA</t>
  </si>
  <si>
    <r>
      <t>O.G.</t>
    </r>
    <r>
      <rPr>
        <sz val="10"/>
        <color indexed="17"/>
        <rFont val="Times New Roman"/>
        <family val="1"/>
      </rPr>
      <t xml:space="preserve"> </t>
    </r>
    <r>
      <rPr>
        <sz val="10"/>
        <color indexed="57"/>
        <rFont val="Times New Roman"/>
        <family val="1"/>
      </rPr>
      <t>(exc. primer)</t>
    </r>
  </si>
  <si>
    <r>
      <rPr>
        <b/>
        <sz val="10"/>
        <color indexed="8"/>
        <rFont val="Times New Roman"/>
        <family val="1"/>
      </rPr>
      <t>"Effective" O.G.</t>
    </r>
    <r>
      <rPr>
        <sz val="10"/>
        <color indexed="8"/>
        <rFont val="Times New Roman"/>
        <family val="1"/>
      </rPr>
      <t xml:space="preserve"> </t>
    </r>
    <r>
      <rPr>
        <sz val="10"/>
        <color indexed="10"/>
        <rFont val="Times New Roman"/>
        <family val="1"/>
      </rPr>
      <t>(inc. primer)</t>
    </r>
  </si>
  <si>
    <t>This is mainly for diabetes suffers etc. All the figures are approximate.</t>
  </si>
  <si>
    <r>
      <t>F.G.</t>
    </r>
    <r>
      <rPr>
        <sz val="10"/>
        <color indexed="54"/>
        <rFont val="Times New Roman"/>
        <family val="1"/>
      </rPr>
      <t xml:space="preserve"> </t>
    </r>
    <r>
      <rPr>
        <sz val="10"/>
        <color indexed="57"/>
        <rFont val="Times New Roman"/>
        <family val="1"/>
      </rPr>
      <t>(exc. primer)</t>
    </r>
  </si>
  <si>
    <r>
      <rPr>
        <b/>
        <sz val="10"/>
        <color indexed="8"/>
        <rFont val="Times New Roman"/>
        <family val="1"/>
      </rPr>
      <t>"Effective" F.G.</t>
    </r>
    <r>
      <rPr>
        <sz val="10"/>
        <color indexed="10"/>
        <rFont val="Times New Roman"/>
        <family val="1"/>
      </rPr>
      <t xml:space="preserve"> (inc. primer)</t>
    </r>
  </si>
  <si>
    <t>Metric measures</t>
  </si>
  <si>
    <t>UK measures</t>
  </si>
  <si>
    <t>US measures</t>
  </si>
  <si>
    <t>SG (ave)</t>
  </si>
  <si>
    <t xml:space="preserve">Cals/g </t>
  </si>
  <si>
    <t xml:space="preserve">Carbs/g </t>
  </si>
  <si>
    <r>
      <t>% Alcohol</t>
    </r>
    <r>
      <rPr>
        <sz val="10"/>
        <color indexed="10"/>
        <rFont val="Times New Roman"/>
        <family val="1"/>
      </rPr>
      <t xml:space="preserve"> </t>
    </r>
    <r>
      <rPr>
        <sz val="10"/>
        <color indexed="57"/>
        <rFont val="Times New Roman"/>
        <family val="1"/>
      </rPr>
      <t>(exc. primer)</t>
    </r>
  </si>
  <si>
    <r>
      <rPr>
        <b/>
        <sz val="10"/>
        <color indexed="8"/>
        <rFont val="Times New Roman"/>
        <family val="1"/>
      </rPr>
      <t>% Alcohol</t>
    </r>
    <r>
      <rPr>
        <sz val="10"/>
        <color indexed="10"/>
        <rFont val="Times New Roman"/>
        <family val="1"/>
      </rPr>
      <t xml:space="preserve"> (inc. primer)</t>
    </r>
  </si>
  <si>
    <t>For a bottle ̸ glass size of</t>
  </si>
  <si>
    <t>ml</t>
  </si>
  <si>
    <t>pint</t>
  </si>
  <si>
    <t>fl oz</t>
  </si>
  <si>
    <r>
      <t>Carbonation, volumes CO</t>
    </r>
    <r>
      <rPr>
        <sz val="8"/>
        <color indexed="8"/>
        <rFont val="Times New Roman"/>
        <family val="1"/>
      </rPr>
      <t>2</t>
    </r>
    <r>
      <rPr>
        <sz val="10"/>
        <color indexed="8"/>
        <rFont val="Times New Roman"/>
        <family val="1"/>
      </rPr>
      <t xml:space="preserve"> </t>
    </r>
    <r>
      <rPr>
        <sz val="10"/>
        <color indexed="57"/>
        <rFont val="Times New Roman"/>
        <family val="1"/>
      </rPr>
      <t>(exc. primer)</t>
    </r>
  </si>
  <si>
    <r>
      <rPr>
        <b/>
        <sz val="10"/>
        <color indexed="8"/>
        <rFont val="Times New Roman"/>
        <family val="1"/>
      </rPr>
      <t>Carbonation</t>
    </r>
    <r>
      <rPr>
        <sz val="10"/>
        <color indexed="8"/>
        <rFont val="Times New Roman"/>
        <family val="1"/>
      </rPr>
      <t xml:space="preserve"> </t>
    </r>
    <r>
      <rPr>
        <sz val="10"/>
        <color indexed="10"/>
        <rFont val="Times New Roman"/>
        <family val="1"/>
      </rPr>
      <t>(inc. primer)</t>
    </r>
  </si>
  <si>
    <t>Calories from the alcohol</t>
  </si>
  <si>
    <t>/ ml</t>
  </si>
  <si>
    <r>
      <t>Bitterness</t>
    </r>
    <r>
      <rPr>
        <sz val="10"/>
        <color indexed="20"/>
        <rFont val="Times New Roman"/>
        <family val="1"/>
      </rPr>
      <t xml:space="preserve"> </t>
    </r>
    <r>
      <rPr>
        <sz val="10"/>
        <color rgb="FFCC00FF"/>
        <rFont val="Times New Roman"/>
        <family val="1"/>
      </rPr>
      <t xml:space="preserve">- </t>
    </r>
    <r>
      <rPr>
        <b/>
        <sz val="10"/>
        <color rgb="FFCC00FF"/>
        <rFont val="Times New Roman"/>
        <family val="1"/>
      </rPr>
      <t>Method 1A</t>
    </r>
  </si>
  <si>
    <t>Cals from the residual sugars</t>
  </si>
  <si>
    <r>
      <t xml:space="preserve">Bitterness </t>
    </r>
    <r>
      <rPr>
        <sz val="10"/>
        <color rgb="FFC00000"/>
        <rFont val="Times New Roman"/>
        <family val="1"/>
      </rPr>
      <t xml:space="preserve">- OR </t>
    </r>
    <r>
      <rPr>
        <b/>
        <sz val="10"/>
        <color rgb="FFC00000"/>
        <rFont val="Times New Roman"/>
        <family val="1"/>
      </rPr>
      <t>Method 1B</t>
    </r>
  </si>
  <si>
    <t>Total calories</t>
  </si>
  <si>
    <r>
      <rPr>
        <sz val="10"/>
        <color theme="0"/>
        <rFont val="Times New Roman"/>
        <family val="1"/>
      </rPr>
      <t xml:space="preserve">Bitterness </t>
    </r>
    <r>
      <rPr>
        <sz val="10"/>
        <color rgb="FFFF33CC"/>
        <rFont val="Times New Roman"/>
        <family val="1"/>
      </rPr>
      <t xml:space="preserve">- OR </t>
    </r>
    <r>
      <rPr>
        <b/>
        <sz val="10"/>
        <color rgb="FFFF33CC"/>
        <rFont val="Times New Roman"/>
        <family val="1"/>
      </rPr>
      <t>Method 2</t>
    </r>
  </si>
  <si>
    <t>Carbohydrates</t>
  </si>
  <si>
    <t>g</t>
  </si>
  <si>
    <t>Extract</t>
  </si>
  <si>
    <t>Ferment-</t>
  </si>
  <si>
    <t>Colour</t>
  </si>
  <si>
    <t>DEG</t>
  </si>
  <si>
    <t>Atten.</t>
  </si>
  <si>
    <t>Target colour EBC</t>
  </si>
  <si>
    <t>Units of alcohol (UK)</t>
  </si>
  <si>
    <t>°/Kg/l.</t>
  </si>
  <si>
    <t>ability</t>
  </si>
  <si>
    <t>EBC</t>
  </si>
  <si>
    <t>REV</t>
  </si>
  <si>
    <t>1 level 5ml tsp sugar =</t>
  </si>
  <si>
    <t>PALE malt to liquid ̸ dry ext. wt.</t>
  </si>
  <si>
    <t xml:space="preserve">Liquid ̸ dry malt extract wt. </t>
  </si>
  <si>
    <t>Sugar weight ̸ vol.</t>
  </si>
  <si>
    <t>Liquid</t>
  </si>
  <si>
    <r>
      <t>Malt</t>
    </r>
    <r>
      <rPr>
        <sz val="10"/>
        <rFont val="Times New Roman"/>
        <family val="1"/>
      </rPr>
      <t xml:space="preserve"> Wt.</t>
    </r>
  </si>
  <si>
    <t>Dry</t>
  </si>
  <si>
    <t>Dependant on cell C5</t>
  </si>
  <si>
    <t>Ext. wt.</t>
  </si>
  <si>
    <t>Wt. g</t>
  </si>
  <si>
    <t>Unit</t>
  </si>
  <si>
    <t>tsp</t>
  </si>
  <si>
    <t>h</t>
  </si>
  <si>
    <r>
      <t xml:space="preserve">Note:- The hop bitterness calculations may give different figures to the </t>
    </r>
    <r>
      <rPr>
        <sz val="10"/>
        <color indexed="10"/>
        <rFont val="Times New Roman"/>
        <family val="1"/>
      </rPr>
      <t>Beer Calc.</t>
    </r>
    <r>
      <rPr>
        <sz val="10"/>
        <color indexed="8"/>
        <rFont val="Times New Roman"/>
        <family val="1"/>
      </rPr>
      <t xml:space="preserve"> owing to the different processes used. This calc. is "</t>
    </r>
    <r>
      <rPr>
        <b/>
        <sz val="10"/>
        <color indexed="8"/>
        <rFont val="Times New Roman"/>
        <family val="1"/>
      </rPr>
      <t>STAND ALONE</t>
    </r>
    <r>
      <rPr>
        <sz val="10"/>
        <color indexed="8"/>
        <rFont val="Times New Roman"/>
        <family val="1"/>
      </rPr>
      <t>".</t>
    </r>
  </si>
  <si>
    <r>
      <t xml:space="preserve">All figures shown in </t>
    </r>
    <r>
      <rPr>
        <sz val="9"/>
        <color indexed="55"/>
        <rFont val="Times New Roman"/>
        <family val="1"/>
      </rPr>
      <t>grey</t>
    </r>
    <r>
      <rPr>
        <sz val="9"/>
        <color indexed="8"/>
        <rFont val="Times New Roman"/>
        <family val="1"/>
      </rPr>
      <t xml:space="preserve"> may be ignored - for information only.</t>
    </r>
  </si>
  <si>
    <t>METHOD 1.</t>
  </si>
  <si>
    <t>METHOD 2.</t>
  </si>
  <si>
    <t>VOLUME CONVERTERS</t>
  </si>
  <si>
    <t>Malt Extracts.</t>
  </si>
  <si>
    <t>LIQUID (LME)</t>
  </si>
  <si>
    <t>Qty</t>
  </si>
  <si>
    <t>Units</t>
  </si>
  <si>
    <t>% Wt.</t>
  </si>
  <si>
    <t>% Sugars</t>
  </si>
  <si>
    <t>Wt. (g)</t>
  </si>
  <si>
    <t>UK Pts</t>
  </si>
  <si>
    <t>US Pts</t>
  </si>
  <si>
    <t>Litres</t>
  </si>
  <si>
    <t>UN-HOPPED</t>
  </si>
  <si>
    <t>start of the boil. Method 1A.</t>
  </si>
  <si>
    <t>end of the boil. Method 1B.</t>
  </si>
  <si>
    <t>Boiled</t>
  </si>
  <si>
    <t>HOP VARIETY</t>
  </si>
  <si>
    <t>Alpha</t>
  </si>
  <si>
    <t>1st hop</t>
  </si>
  <si>
    <t>2nd hop</t>
  </si>
  <si>
    <t>3rd hop</t>
  </si>
  <si>
    <t>4th hop</t>
  </si>
  <si>
    <t>start of the boil.</t>
  </si>
  <si>
    <t>end of the boil.</t>
  </si>
  <si>
    <t>Separately</t>
  </si>
  <si>
    <t>Acid %</t>
  </si>
  <si>
    <t>5th hop</t>
  </si>
  <si>
    <t>Admiral</t>
  </si>
  <si>
    <t xml:space="preserve">Ahtanum </t>
  </si>
  <si>
    <t>Boadicea</t>
  </si>
  <si>
    <t>Bramling Cross</t>
  </si>
  <si>
    <t>Brewers Gold</t>
  </si>
  <si>
    <t>DRY (DME)</t>
  </si>
  <si>
    <t>%</t>
  </si>
  <si>
    <t>Bullion</t>
  </si>
  <si>
    <t>Sugars</t>
  </si>
  <si>
    <t>Challenger</t>
  </si>
  <si>
    <t>Cluster</t>
  </si>
  <si>
    <t>EKG</t>
  </si>
  <si>
    <t xml:space="preserve">First Gold (Prima Donna) </t>
  </si>
  <si>
    <t>Fuggles</t>
  </si>
  <si>
    <t>Goldings (Worc.)</t>
  </si>
  <si>
    <t>Green Bullet</t>
  </si>
  <si>
    <r>
      <t xml:space="preserve">Hallertauer </t>
    </r>
    <r>
      <rPr>
        <sz val="10"/>
        <color indexed="10"/>
        <rFont val="Times New Roman"/>
        <family val="1"/>
      </rPr>
      <t>("German")</t>
    </r>
  </si>
  <si>
    <t>Bitterness</t>
  </si>
  <si>
    <r>
      <rPr>
        <b/>
        <sz val="10"/>
        <rFont val="Times New Roman"/>
        <family val="1"/>
      </rPr>
      <t>HOPPED</t>
    </r>
    <r>
      <rPr>
        <sz val="10"/>
        <rFont val="Times New Roman"/>
        <family val="1"/>
      </rPr>
      <t xml:space="preserve"> </t>
    </r>
    <r>
      <rPr>
        <sz val="10"/>
        <color rgb="FFFF33CC"/>
        <rFont val="Times New Roman"/>
        <family val="1"/>
      </rPr>
      <t>(METHOD 2 is recommended)</t>
    </r>
  </si>
  <si>
    <t xml:space="preserve"> EBU</t>
  </si>
  <si>
    <r>
      <t>Hallertauer</t>
    </r>
    <r>
      <rPr>
        <sz val="10"/>
        <color indexed="10"/>
        <rFont val="Times New Roman"/>
        <family val="1"/>
      </rPr>
      <t xml:space="preserve"> ("Pacific")</t>
    </r>
  </si>
  <si>
    <t>EBU</t>
  </si>
  <si>
    <t>Liberty</t>
  </si>
  <si>
    <t>Lublin</t>
  </si>
  <si>
    <t>Magnum</t>
  </si>
  <si>
    <t>Marynka</t>
  </si>
  <si>
    <t>Minstrel Hops</t>
  </si>
  <si>
    <t>Mount Hood</t>
  </si>
  <si>
    <t>WEIGHT CONVERTERS</t>
  </si>
  <si>
    <t>Northdown</t>
  </si>
  <si>
    <t>oz</t>
  </si>
  <si>
    <t>lb.</t>
  </si>
  <si>
    <t>Northern Brewer</t>
  </si>
  <si>
    <t>"Coloured" Malts</t>
  </si>
  <si>
    <t>COLOURED MALTS</t>
  </si>
  <si>
    <t>Perle</t>
  </si>
  <si>
    <t>Phoenix</t>
  </si>
  <si>
    <t>Pilgrim</t>
  </si>
  <si>
    <t>Pioneer</t>
  </si>
  <si>
    <t>Pride Of Ringwood</t>
  </si>
  <si>
    <t>Progress</t>
  </si>
  <si>
    <t>Saaz</t>
  </si>
  <si>
    <t>Southern Cross</t>
  </si>
  <si>
    <t>Sovereign</t>
  </si>
  <si>
    <t>Styrian Goldings</t>
  </si>
  <si>
    <t>Target</t>
  </si>
  <si>
    <t>Tettnanger</t>
  </si>
  <si>
    <t>WGV</t>
  </si>
  <si>
    <t>Sugars Etc.</t>
  </si>
  <si>
    <t>SUGARS</t>
  </si>
  <si>
    <t>Yeoman</t>
  </si>
  <si>
    <t>Zenith</t>
  </si>
  <si>
    <t>Cascade</t>
  </si>
  <si>
    <t>Other (2)</t>
  </si>
  <si>
    <t>Other (1)</t>
  </si>
  <si>
    <r>
      <t>Isomerised hop extract</t>
    </r>
    <r>
      <rPr>
        <b/>
        <sz val="10"/>
        <color indexed="8"/>
        <rFont val="Times New Roman"/>
        <family val="1"/>
      </rPr>
      <t xml:space="preserve"> </t>
    </r>
    <r>
      <rPr>
        <b/>
        <sz val="10"/>
        <color rgb="FFFF0000"/>
        <rFont val="Times New Roman"/>
        <family val="1"/>
      </rPr>
      <t>‡</t>
    </r>
  </si>
  <si>
    <t>hop bitterness</t>
  </si>
  <si>
    <t>‡ Do not boil the hop extract!</t>
  </si>
  <si>
    <t>wt hop</t>
  </si>
  <si>
    <t>Boil vol. (litres)</t>
  </si>
  <si>
    <t>wt coloured x 0.5</t>
  </si>
  <si>
    <t>Hop Boil Schedule</t>
  </si>
  <si>
    <t>METHOD 1a</t>
  </si>
  <si>
    <t>METHOD 1b</t>
  </si>
  <si>
    <t>METHOD 2</t>
  </si>
  <si>
    <t>Boil gravity</t>
  </si>
  <si>
    <t>1st hops added at time</t>
  </si>
  <si>
    <t>.</t>
  </si>
  <si>
    <t>Boil time (mins)</t>
  </si>
  <si>
    <r>
      <t xml:space="preserve">⁂  </t>
    </r>
    <r>
      <rPr>
        <sz val="10"/>
        <rFont val="Times New Roman"/>
        <family val="1"/>
      </rPr>
      <t>2nd hops added at</t>
    </r>
  </si>
  <si>
    <t>Boil bitterness added</t>
  </si>
  <si>
    <r>
      <t xml:space="preserve">⁂  </t>
    </r>
    <r>
      <rPr>
        <sz val="10"/>
        <rFont val="Times New Roman"/>
        <family val="1"/>
      </rPr>
      <t>3rd hops added at</t>
    </r>
  </si>
  <si>
    <r>
      <t xml:space="preserve">⁂  </t>
    </r>
    <r>
      <rPr>
        <sz val="10"/>
        <rFont val="Times New Roman"/>
        <family val="1"/>
      </rPr>
      <t>4th hops added at</t>
    </r>
  </si>
  <si>
    <t>Bitterness from added hops (EBU)</t>
  </si>
  <si>
    <t>Malt ̸ iso-hop extract bitterness</t>
  </si>
  <si>
    <t>End Boil Time =</t>
  </si>
  <si>
    <t>Total bitterness</t>
  </si>
  <si>
    <t>end</t>
  </si>
  <si>
    <t>Total Boil Time =</t>
  </si>
  <si>
    <t>mins</t>
  </si>
  <si>
    <t>Note:-</t>
  </si>
  <si>
    <r>
      <t xml:space="preserve">⁂  </t>
    </r>
    <r>
      <rPr>
        <sz val="10"/>
        <rFont val="Times New Roman"/>
        <family val="1"/>
      </rPr>
      <t>If applicable.</t>
    </r>
  </si>
  <si>
    <r>
      <t xml:space="preserve">Total sugar (sucrose equiv. </t>
    </r>
    <r>
      <rPr>
        <sz val="10"/>
        <color rgb="FFFF0000"/>
        <rFont val="Times New Roman"/>
        <family val="1"/>
      </rPr>
      <t>inc. primer</t>
    </r>
    <r>
      <rPr>
        <sz val="10"/>
        <color theme="0" tint="-0.499984740745262"/>
        <rFont val="Times New Roman"/>
        <family val="1"/>
      </rPr>
      <t>)</t>
    </r>
  </si>
  <si>
    <t>When hopped extract &amp; ̸ or iso-hop extract are ̸ is used with NO additional hops, boiling is NOT required.</t>
  </si>
  <si>
    <t>Generally 40'% sugars by wt is considered the Max., equiv. to 30% by weight if using malt.</t>
  </si>
  <si>
    <t>g ̸ litre</t>
  </si>
  <si>
    <t>Col</t>
  </si>
  <si>
    <t xml:space="preserve">   This is equivalent to</t>
  </si>
  <si>
    <t>level 5ml tsp ̸ litre</t>
  </si>
  <si>
    <t>Total wts</t>
  </si>
  <si>
    <t>See the Hop Settings</t>
  </si>
  <si>
    <t>tot sugars</t>
  </si>
  <si>
    <t>OR, for a</t>
  </si>
  <si>
    <t>ml bottle</t>
  </si>
  <si>
    <t>use</t>
  </si>
  <si>
    <t>Check</t>
  </si>
  <si>
    <t>Atten malt</t>
  </si>
  <si>
    <t>OG</t>
  </si>
  <si>
    <t>No primer</t>
  </si>
  <si>
    <t>Atten sug</t>
  </si>
  <si>
    <t>X71</t>
  </si>
  <si>
    <t>Yeast Efficiency % (atten.)</t>
  </si>
  <si>
    <t xml:space="preserve"> (75% is generally assumed)</t>
  </si>
  <si>
    <t>Temp</t>
  </si>
  <si>
    <t>Vol.</t>
  </si>
  <si>
    <t>Atten NO primer</t>
  </si>
  <si>
    <t>X72</t>
  </si>
  <si>
    <t>Yeast used</t>
  </si>
  <si>
    <t>Ale</t>
  </si>
  <si>
    <t>Gervin</t>
  </si>
  <si>
    <t>°C</t>
  </si>
  <si>
    <t>CO2</t>
  </si>
  <si>
    <t>fg = og - atten (malt + sug)</t>
  </si>
  <si>
    <t>O.G. (inc. primer)</t>
  </si>
  <si>
    <t>Primer</t>
  </si>
  <si>
    <t>3.15g ̸ litre (1 level 5ml tsp) for British ales.</t>
  </si>
  <si>
    <t>Batch Priming</t>
  </si>
  <si>
    <t xml:space="preserve">litres. </t>
  </si>
  <si>
    <t>O.G. (exc. primer)</t>
  </si>
  <si>
    <t>4.725g ̸ litre (1.5 level tsp) for porters ̸ stouts.</t>
  </si>
  <si>
    <t>F.G. (exc. primer)</t>
  </si>
  <si>
    <t>FG</t>
  </si>
  <si>
    <t>6.3g ̸ litre (2 level tsp) for Trappist ̸ Abbey ales &amp; lagers.</t>
  </si>
  <si>
    <t>Sucrose</t>
  </si>
  <si>
    <t>"Sugar" wt. ̸ tsp</t>
  </si>
  <si>
    <t>F.G. (inc. primer)</t>
  </si>
  <si>
    <t>For more information about "carbonation" see "Beer Primer" page.</t>
  </si>
  <si>
    <t>NOTES:-</t>
  </si>
  <si>
    <t>Any lactose is added after the boil.</t>
  </si>
  <si>
    <t>Used for the Hop Utilisation calc’s.</t>
  </si>
  <si>
    <t>Hop Settings</t>
  </si>
  <si>
    <t>Default settings</t>
  </si>
  <si>
    <t>User settings</t>
  </si>
  <si>
    <t xml:space="preserve">ml iso-hop extract in </t>
  </si>
  <si>
    <t>EBU's</t>
  </si>
  <si>
    <t>ALWAYS WORK ON A COPY OF THIS SPREADSHEET</t>
  </si>
  <si>
    <t>Free for use. Not for sale.</t>
  </si>
  <si>
    <t xml:space="preserve">Additional help supplied by Andy of </t>
  </si>
  <si>
    <t>www.colchesterhomebrew.co.uk</t>
  </si>
  <si>
    <t xml:space="preserve">Check for the latest version on </t>
  </si>
  <si>
    <t>www.yobrew.co.uk</t>
  </si>
  <si>
    <t>TECHNICAL SECTION</t>
  </si>
  <si>
    <t>Approximate malt colour (for colours &gt;1.0)</t>
  </si>
  <si>
    <r>
      <t>FIGURES USED IN THE ABOVE CALCULATOR.</t>
    </r>
    <r>
      <rPr>
        <sz val="10"/>
        <color indexed="8"/>
        <rFont val="Times New Roman"/>
        <family val="1"/>
      </rPr>
      <t xml:space="preserve"> </t>
    </r>
    <r>
      <rPr>
        <sz val="10"/>
        <color rgb="FFFF0000"/>
        <rFont val="Times New Roman"/>
        <family val="1"/>
      </rPr>
      <t>(All are editable.)</t>
    </r>
  </si>
  <si>
    <t>Lovibond</t>
  </si>
  <si>
    <t>Malt Extract</t>
  </si>
  <si>
    <r>
      <rPr>
        <sz val="10"/>
        <color rgb="FF3366FF"/>
        <rFont val="Times New Roman"/>
        <family val="1"/>
      </rPr>
      <t xml:space="preserve">LIQUID </t>
    </r>
    <r>
      <rPr>
        <sz val="10"/>
        <color indexed="8"/>
        <rFont val="Times New Roman"/>
        <family val="1"/>
      </rPr>
      <t>- UN-HOPPED</t>
    </r>
  </si>
  <si>
    <t>° ̸ Kg ̸ l.</t>
  </si>
  <si>
    <t>Malt colour is based on the average colour specified by maltsters.</t>
  </si>
  <si>
    <t>Extra Light</t>
  </si>
  <si>
    <t>Light</t>
  </si>
  <si>
    <t>Amber</t>
  </si>
  <si>
    <t>Dark</t>
  </si>
  <si>
    <t>Extra dark</t>
  </si>
  <si>
    <t>Wheat (55%)</t>
  </si>
  <si>
    <t>OTHER</t>
  </si>
  <si>
    <r>
      <rPr>
        <sz val="10"/>
        <color rgb="FFFF0000"/>
        <rFont val="Times New Roman"/>
        <family val="1"/>
      </rPr>
      <t>DRY</t>
    </r>
    <r>
      <rPr>
        <sz val="10"/>
        <color indexed="8"/>
        <rFont val="Times New Roman"/>
        <family val="1"/>
      </rPr>
      <t xml:space="preserve"> - </t>
    </r>
    <r>
      <rPr>
        <sz val="10"/>
        <color rgb="FF800080"/>
        <rFont val="Times New Roman"/>
        <family val="1"/>
      </rPr>
      <t>UN-HOPPED</t>
    </r>
  </si>
  <si>
    <t>Medium</t>
  </si>
  <si>
    <r>
      <rPr>
        <sz val="10"/>
        <color rgb="FF3366FF"/>
        <rFont val="Times New Roman"/>
        <family val="1"/>
      </rPr>
      <t>LIQUID</t>
    </r>
    <r>
      <rPr>
        <sz val="10"/>
        <color indexed="8"/>
        <rFont val="Times New Roman"/>
        <family val="1"/>
      </rPr>
      <t xml:space="preserve"> - HOPPED</t>
    </r>
  </si>
  <si>
    <r>
      <rPr>
        <sz val="10"/>
        <color rgb="FFFF0000"/>
        <rFont val="Times New Roman"/>
        <family val="1"/>
      </rPr>
      <t xml:space="preserve">DRY </t>
    </r>
    <r>
      <rPr>
        <sz val="10"/>
        <color indexed="8"/>
        <rFont val="Times New Roman"/>
        <family val="1"/>
      </rPr>
      <t>- HOPPED</t>
    </r>
  </si>
  <si>
    <t>Coloured Malts</t>
  </si>
  <si>
    <t>useable</t>
  </si>
  <si>
    <t>Effic. %</t>
  </si>
  <si>
    <t>Max.</t>
  </si>
  <si>
    <t>Max % Wt. used LME ̸ DME</t>
  </si>
  <si>
    <t>Black</t>
  </si>
  <si>
    <t>13 ̸ 15</t>
  </si>
  <si>
    <t>Caramalt</t>
  </si>
  <si>
    <t>Caramalt (pale)</t>
  </si>
  <si>
    <t>Carapils</t>
  </si>
  <si>
    <t>Chocolate</t>
  </si>
  <si>
    <t>7 ̸ 8</t>
  </si>
  <si>
    <t>Crystal (dark)</t>
  </si>
  <si>
    <t>26 ̸ 30</t>
  </si>
  <si>
    <t>Crystal (light)</t>
  </si>
  <si>
    <t>Crystal (medium)</t>
  </si>
  <si>
    <t>Roast barley</t>
  </si>
  <si>
    <t>OTHER (2)</t>
  </si>
  <si>
    <t>OTHER (1)</t>
  </si>
  <si>
    <t>Cane ̸ beet sugar (sucrose)</t>
  </si>
  <si>
    <t>Brown sugar (light)</t>
  </si>
  <si>
    <t>Brown sugar (medium)</t>
  </si>
  <si>
    <t>Brown sugar (dark)</t>
  </si>
  <si>
    <t>Invert sugar</t>
  </si>
  <si>
    <t>Honey (1 lb = 454g)</t>
  </si>
  <si>
    <t>Belgian candi sugar white dry</t>
  </si>
  <si>
    <t>SOLID</t>
  </si>
  <si>
    <t>Max % Wt. used</t>
  </si>
  <si>
    <t>Belgian candi sugar light brown dry</t>
  </si>
  <si>
    <t>Belgian candi sugar dark brown dry</t>
  </si>
  <si>
    <t>Belgian candi sugar light syrup</t>
  </si>
  <si>
    <t>LIQUID</t>
  </si>
  <si>
    <t>Belgian candi sugar amber syrup</t>
  </si>
  <si>
    <t>Belgian candi sugar dark syrup</t>
  </si>
  <si>
    <t>Other 1</t>
  </si>
  <si>
    <t>Lactose (non-fermentable - FIXED)</t>
  </si>
  <si>
    <t>Add after the boil.</t>
  </si>
  <si>
    <t>The following "sugars" my be COPIED &amp; PASTED in rows 153-166</t>
  </si>
  <si>
    <t>State</t>
  </si>
  <si>
    <t>Invert sugars - SOLID</t>
  </si>
  <si>
    <t>Not sure about this info but it's better than now't! (Well, ..... possibly.)</t>
  </si>
  <si>
    <t>Inv. sugar No. 1 dry</t>
  </si>
  <si>
    <t>Inv. sugar No. 2 dry</t>
  </si>
  <si>
    <t>Inv. sugar No. 3 dry</t>
  </si>
  <si>
    <t>Inv. sugar No. 4 dry</t>
  </si>
  <si>
    <t>Invert sugars - LIQUID</t>
  </si>
  <si>
    <t>Inv. sugar No. 1 syrup</t>
  </si>
  <si>
    <t>Inv. sugar No. 2 syrup</t>
  </si>
  <si>
    <t>Inv. sugar No. 3 syrup</t>
  </si>
  <si>
    <t>Inv. sugar No. 4 syrup</t>
  </si>
  <si>
    <t>last</t>
  </si>
  <si>
    <t>NOTE:- This sheet needs the "Beer Data Sheet".</t>
  </si>
  <si>
    <t>Default zoom setting = 75%</t>
  </si>
  <si>
    <t>Initial vol. litres</t>
  </si>
  <si>
    <r>
      <rPr>
        <sz val="11"/>
        <color indexed="8"/>
        <rFont val="Times New Roman"/>
        <family val="1"/>
      </rPr>
      <t>°</t>
    </r>
    <r>
      <rPr>
        <sz val="10"/>
        <color indexed="8"/>
        <rFont val="Times New Roman"/>
        <family val="1"/>
      </rPr>
      <t>C (0-30).</t>
    </r>
  </si>
  <si>
    <t>Brew efficiency</t>
  </si>
  <si>
    <r>
      <t>O.G.</t>
    </r>
    <r>
      <rPr>
        <sz val="10"/>
        <color indexed="57"/>
        <rFont val="Times New Roman"/>
        <family val="1"/>
      </rPr>
      <t xml:space="preserve"> (exc. primer)</t>
    </r>
  </si>
  <si>
    <r>
      <rPr>
        <b/>
        <sz val="10"/>
        <color indexed="8"/>
        <rFont val="Times New Roman"/>
        <family val="1"/>
      </rPr>
      <t>"Effective" F.G.</t>
    </r>
    <r>
      <rPr>
        <sz val="10"/>
        <color indexed="8"/>
        <rFont val="Times New Roman"/>
        <family val="1"/>
      </rPr>
      <t xml:space="preserve"> </t>
    </r>
    <r>
      <rPr>
        <sz val="10"/>
        <color indexed="10"/>
        <rFont val="Times New Roman"/>
        <family val="1"/>
      </rPr>
      <t>(inc. primer)</t>
    </r>
  </si>
  <si>
    <r>
      <rPr>
        <b/>
        <sz val="10"/>
        <color indexed="8"/>
        <rFont val="Times New Roman"/>
        <family val="1"/>
      </rPr>
      <t>% Alcohol</t>
    </r>
    <r>
      <rPr>
        <sz val="10"/>
        <color indexed="8"/>
        <rFont val="Times New Roman"/>
        <family val="1"/>
      </rPr>
      <t xml:space="preserve"> </t>
    </r>
    <r>
      <rPr>
        <sz val="10"/>
        <color indexed="10"/>
        <rFont val="Times New Roman"/>
        <family val="1"/>
      </rPr>
      <t>(inc. primer)</t>
    </r>
  </si>
  <si>
    <r>
      <t>Bitterness</t>
    </r>
    <r>
      <rPr>
        <sz val="10"/>
        <color indexed="20"/>
        <rFont val="Times New Roman"/>
        <family val="1"/>
      </rPr>
      <t xml:space="preserve"> </t>
    </r>
    <r>
      <rPr>
        <sz val="10"/>
        <color rgb="FFCC00FF"/>
        <rFont val="Times New Roman"/>
        <family val="1"/>
      </rPr>
      <t xml:space="preserve">- </t>
    </r>
    <r>
      <rPr>
        <b/>
        <sz val="10"/>
        <color rgb="FFCC00FF"/>
        <rFont val="Times New Roman"/>
        <family val="1"/>
      </rPr>
      <t xml:space="preserve">Method 1A </t>
    </r>
  </si>
  <si>
    <t>Calories from the residual sugars</t>
  </si>
  <si>
    <t>bitterness</t>
  </si>
  <si>
    <r>
      <t xml:space="preserve">Bitterness </t>
    </r>
    <r>
      <rPr>
        <sz val="10"/>
        <color indexed="60"/>
        <rFont val="Times New Roman"/>
        <family val="1"/>
      </rPr>
      <t xml:space="preserve">- OR </t>
    </r>
    <r>
      <rPr>
        <b/>
        <sz val="10"/>
        <color indexed="60"/>
        <rFont val="Times New Roman"/>
        <family val="1"/>
      </rPr>
      <t>Method 1B</t>
    </r>
  </si>
  <si>
    <t>This page is primarily intended for "mashers" but "extract" uses can it as well although some very minor hop errors may occur.</t>
  </si>
  <si>
    <t>(For details, see the "Extract Calc.")</t>
  </si>
  <si>
    <t>EBC: Viewed through 25mm glass/cuvette.    SRM: Viewed through 0.5 inch glass/cuvette.</t>
  </si>
  <si>
    <t>Converts malt to wet ̸ dry extract weights etc.</t>
  </si>
  <si>
    <t>Pale MALT</t>
  </si>
  <si>
    <t>Malt ext.</t>
  </si>
  <si>
    <t>Boil Gravity</t>
  </si>
  <si>
    <t>LIQUID Extract</t>
  </si>
  <si>
    <t>DRY Extract</t>
  </si>
  <si>
    <t>Boil Time (min)</t>
  </si>
  <si>
    <t>Use the "Beer Data" sheet to amend the "Malts &amp; Sugars" or "Hops" data.  Simply copy the required data from columns "K"-"O" to columns "C"-"G".</t>
  </si>
  <si>
    <t>Any sugars/extracts added at the</t>
  </si>
  <si>
    <t>MALTS &amp; SUGARS</t>
  </si>
  <si>
    <t>Wt.</t>
  </si>
  <si>
    <t>6th hop</t>
  </si>
  <si>
    <t>DEG/K/L</t>
  </si>
  <si>
    <t>FERMENT</t>
  </si>
  <si>
    <t>COL</t>
  </si>
  <si>
    <t>ATTEN</t>
  </si>
  <si>
    <t>Malts &amp; Adjuncts</t>
  </si>
  <si>
    <t>Malt Ext.</t>
  </si>
  <si>
    <t>UK pints</t>
  </si>
  <si>
    <t>US pints</t>
  </si>
  <si>
    <t>Generally 40% sugars by wt is considered the Max., equiv. to 30% by weight if using just malt.</t>
  </si>
  <si>
    <t>See "Beer Data Sheet" cells N15 etc. for the Isomerised hop extract settings.</t>
  </si>
  <si>
    <t>Prim</t>
  </si>
  <si>
    <t>hop times</t>
  </si>
  <si>
    <t>NO prim</t>
  </si>
  <si>
    <t>prim</t>
  </si>
  <si>
    <t>For more info. see the "Beer Primer" page.</t>
  </si>
  <si>
    <t>O.G. (inc. primer</t>
  </si>
  <si>
    <t>og</t>
  </si>
  <si>
    <t>Yeast efficiency % (attenuation)</t>
  </si>
  <si>
    <t>(75% is generally assumed)</t>
  </si>
  <si>
    <t>Hop bitterness (EBU)</t>
  </si>
  <si>
    <t>Hop ̸ iso-hop bitterness</t>
  </si>
  <si>
    <t>fg</t>
  </si>
  <si>
    <t xml:space="preserve">Total bitterness </t>
  </si>
  <si>
    <t>MASHING</t>
  </si>
  <si>
    <t>HOP NOTES</t>
  </si>
  <si>
    <t>malt</t>
  </si>
  <si>
    <t>ext l</t>
  </si>
  <si>
    <t>ext d</t>
  </si>
  <si>
    <t>col</t>
  </si>
  <si>
    <t>tot</t>
  </si>
  <si>
    <r>
      <t xml:space="preserve">The </t>
    </r>
    <r>
      <rPr>
        <b/>
        <sz val="10"/>
        <color indexed="8"/>
        <rFont val="Times New Roman"/>
        <family val="1"/>
      </rPr>
      <t>mash liquor</t>
    </r>
    <r>
      <rPr>
        <sz val="10"/>
        <color indexed="8"/>
        <rFont val="Times New Roman"/>
        <family val="1"/>
      </rPr>
      <t xml:space="preserve"> or </t>
    </r>
    <r>
      <rPr>
        <b/>
        <sz val="10"/>
        <color indexed="8"/>
        <rFont val="Times New Roman"/>
        <family val="1"/>
      </rPr>
      <t>strike water</t>
    </r>
    <r>
      <rPr>
        <sz val="10"/>
        <color indexed="8"/>
        <rFont val="Times New Roman"/>
        <family val="1"/>
      </rPr>
      <t xml:space="preserve"> volume chosen is</t>
    </r>
  </si>
  <si>
    <r>
      <t xml:space="preserve">&amp; </t>
    </r>
    <r>
      <rPr>
        <b/>
        <sz val="10"/>
        <color rgb="FFC00000"/>
        <rFont val="Times New Roman"/>
        <family val="1"/>
      </rPr>
      <t>1B</t>
    </r>
    <r>
      <rPr>
        <sz val="10"/>
        <color indexed="8"/>
        <rFont val="Times New Roman"/>
        <family val="1"/>
      </rPr>
      <t xml:space="preserve"> the vol. is about</t>
    </r>
  </si>
  <si>
    <t>vol</t>
  </si>
  <si>
    <t>rat</t>
  </si>
  <si>
    <r>
      <t>Typical sucrose priming rates @ 20</t>
    </r>
    <r>
      <rPr>
        <b/>
        <u/>
        <sz val="11"/>
        <color indexed="8"/>
        <rFont val="Times New Roman"/>
        <family val="1"/>
      </rPr>
      <t>°</t>
    </r>
    <r>
      <rPr>
        <b/>
        <u/>
        <sz val="10"/>
        <color indexed="8"/>
        <rFont val="Times New Roman"/>
        <family val="1"/>
      </rPr>
      <t>C</t>
    </r>
  </si>
  <si>
    <t>2.35 wheeler</t>
  </si>
  <si>
    <t>no sug/ext</t>
  </si>
  <si>
    <t>Copyright Peter J. Laycock 28~10~'14</t>
  </si>
  <si>
    <r>
      <rPr>
        <b/>
        <sz val="10"/>
        <color indexed="10"/>
        <rFont val="Times New Roman"/>
        <family val="1"/>
      </rPr>
      <t>Disclaime</t>
    </r>
    <r>
      <rPr>
        <b/>
        <sz val="10"/>
        <color rgb="FFFF0000"/>
        <rFont val="Times New Roman"/>
        <family val="1"/>
      </rPr>
      <t>r:</t>
    </r>
    <r>
      <rPr>
        <sz val="10"/>
        <rFont val="Times New Roman"/>
        <family val="1"/>
      </rPr>
      <t xml:space="preserve"> E&amp;OE. No responsibility is assumed or implied as a result of using this spreadsheet.</t>
    </r>
  </si>
  <si>
    <r>
      <rPr>
        <b/>
        <u/>
        <sz val="10"/>
        <color indexed="8"/>
        <rFont val="Times New Roman"/>
        <family val="1"/>
      </rPr>
      <t>Hop formula</t>
    </r>
    <r>
      <rPr>
        <sz val="10"/>
        <color indexed="8"/>
        <rFont val="Times New Roman"/>
        <family val="1"/>
      </rPr>
      <t xml:space="preserve">
The following info is derived from Dr. Glenn Tinseth’s web site.
The bitterness of a beer is a function of the wort gravity (G) &amp; the boil time (T).      % Hop utilization = f(G) x f(T)
Where
f(G) = 1.65 x 0.000125^(0.001Gb - 1000) &amp;
f(T) = [1 – e-^(0.04t)] ̸ 4.15
The numbers 1.65 &amp; 0.0125 in f(G) were empirically derived to fit the boil gravity (Gb) analysis data. In the f(T) equation, the number 0.04 controls the shape of the utilization vs. time curve. The factor 4.15 controls the maximum utilization value. This number may be adjusted to customize the curves to suit your own system. If you feel that you have a very vigorous boil or generally get more utilization from a given boil time or for any reason, you can reduce the number a small amount to 4 or 3.9. Likewise if you think that you are getting less utilization, then you can increase it by 1 or 2 tenths. Doing so will increase or decrease the utilization value for each time &amp; gravity in the table.
</t>
    </r>
  </si>
  <si>
    <t>Hop formula variables:-</t>
  </si>
  <si>
    <t>Beer Yeasts</t>
  </si>
  <si>
    <t xml:space="preserve">www.PetesPintPot.co.uk </t>
  </si>
  <si>
    <t>Yeast Name</t>
  </si>
  <si>
    <t>Manufacturer</t>
  </si>
  <si>
    <t>Yeast</t>
  </si>
  <si>
    <t>Flocculation</t>
  </si>
  <si>
    <t>Apparent Attenuation</t>
  </si>
  <si>
    <t>Temperature</t>
  </si>
  <si>
    <t>FOR THE BEER CALC</t>
  </si>
  <si>
    <t>"MASTER" LISTS</t>
  </si>
  <si>
    <t>FOR THE BEER SCALING CALC</t>
  </si>
  <si>
    <t>ABV</t>
  </si>
  <si>
    <t xml:space="preserve"> Range °C </t>
  </si>
  <si>
    <t xml:space="preserve"> Range °F</t>
  </si>
  <si>
    <r>
      <t xml:space="preserve">Figures used in calculations which may be amended, copy the required data from the </t>
    </r>
    <r>
      <rPr>
        <i/>
        <sz val="8"/>
        <color indexed="10"/>
        <rFont val="Times New Roman"/>
        <family val="1"/>
      </rPr>
      <t>SOURCE INFO (malt &amp; sugar)</t>
    </r>
    <r>
      <rPr>
        <sz val="8"/>
        <color indexed="8"/>
        <rFont val="Times New Roman"/>
        <family val="1"/>
      </rPr>
      <t xml:space="preserve"> below to this table.</t>
    </r>
  </si>
  <si>
    <t>Denotes an "editable" cell, add your own data.</t>
  </si>
  <si>
    <t>Low</t>
  </si>
  <si>
    <t xml:space="preserve">High </t>
  </si>
  <si>
    <t>Ave.</t>
  </si>
  <si>
    <t>(Approx.)</t>
  </si>
  <si>
    <t xml:space="preserve">10th Anniversary Blend WLP010 </t>
  </si>
  <si>
    <t xml:space="preserve">White Labs </t>
  </si>
  <si>
    <t xml:space="preserve">Medium </t>
  </si>
  <si>
    <t>5-10</t>
  </si>
  <si>
    <t>HOPS</t>
  </si>
  <si>
    <t>Alpha Acid %</t>
  </si>
  <si>
    <t>COPIED from the "Master hop list" as required.</t>
  </si>
  <si>
    <t>MASTER HOP LIST</t>
  </si>
  <si>
    <t>This list may be amended/added to as required.</t>
  </si>
  <si>
    <t xml:space="preserve">Abbey Ale (Westmalle) WLP530 </t>
  </si>
  <si>
    <t xml:space="preserve">Med/High </t>
  </si>
  <si>
    <t>10-15</t>
  </si>
  <si>
    <t>Paste</t>
  </si>
  <si>
    <t>Copy</t>
  </si>
  <si>
    <t>Abbey IV Ale Yeast (Rochefort) WLP540</t>
  </si>
  <si>
    <t>White Labs</t>
  </si>
  <si>
    <t xml:space="preserve">Alt Ale BRY 144 </t>
  </si>
  <si>
    <t xml:space="preserve">Siebel Inst. </t>
  </si>
  <si>
    <t>-</t>
  </si>
  <si>
    <t xml:space="preserve">American Hefeweizen Ale WLP320 </t>
  </si>
  <si>
    <t xml:space="preserve">Low </t>
  </si>
  <si>
    <t>Albion Ale Yeast WLP040</t>
  </si>
  <si>
    <t>8-12</t>
  </si>
  <si>
    <t xml:space="preserve">American Ale 1056 </t>
  </si>
  <si>
    <t xml:space="preserve">Wyeast </t>
  </si>
  <si>
    <t xml:space="preserve">Low/Med </t>
  </si>
  <si>
    <t xml:space="preserve">American Ale BRY 96 </t>
  </si>
  <si>
    <t xml:space="preserve">American Ale II 1272 </t>
  </si>
  <si>
    <t xml:space="preserve">American Ale Yeast Blend WLP060 </t>
  </si>
  <si>
    <t>Iso-hop extract</t>
  </si>
  <si>
    <t xml:space="preserve">American Lager 2035 </t>
  </si>
  <si>
    <t>First Gold</t>
  </si>
  <si>
    <t>This assumes that</t>
  </si>
  <si>
    <t xml:space="preserve">litres gives </t>
  </si>
  <si>
    <t xml:space="preserve">American Lager BRY 118 </t>
  </si>
  <si>
    <t xml:space="preserve">Very High </t>
  </si>
  <si>
    <t>Med.</t>
  </si>
  <si>
    <t>Note:- 1 ml of Ritchie's hop extract in 1 litre of beer adds 69 EBU's</t>
  </si>
  <si>
    <t xml:space="preserve">American Lager WLP840 </t>
  </si>
  <si>
    <t xml:space="preserve">American Wheat 1010 </t>
  </si>
  <si>
    <t>Antwerp Ale Yeast (De Koninck) WLP515</t>
  </si>
  <si>
    <t>1 level ml tsp sugar =</t>
  </si>
  <si>
    <t>g (3.15 default)</t>
  </si>
  <si>
    <t xml:space="preserve">Australian Ale WLP009 </t>
  </si>
  <si>
    <t>5-11</t>
  </si>
  <si>
    <t xml:space="preserve">Bastogne Belgian Ale Yeast (Orval) WLP510 </t>
  </si>
  <si>
    <t xml:space="preserve">Bavarian Lager 2206 </t>
  </si>
  <si>
    <t xml:space="preserve">Bavarian Weizen Ale WLP351 </t>
  </si>
  <si>
    <t xml:space="preserve">Bavarian Weizen BRY 235 </t>
  </si>
  <si>
    <t xml:space="preserve">Bavarian Wheat 3638 </t>
  </si>
  <si>
    <t xml:space="preserve">Bavarian Wheat Blend 3056 </t>
  </si>
  <si>
    <t xml:space="preserve">Bedford British Ale WLP006 </t>
  </si>
  <si>
    <t>Belgian Abbey (Chimay) 1214</t>
  </si>
  <si>
    <t>Med/Low</t>
  </si>
  <si>
    <t>Belgian Abbey II (Rochefort) 1762</t>
  </si>
  <si>
    <t>Belgian Abbey IV (Rochefort) WLP540</t>
  </si>
  <si>
    <t>BEER SCALING CALC FERMENTABLES LIST</t>
  </si>
  <si>
    <t>Belgian Ale (Achouffe) WLP550</t>
  </si>
  <si>
    <t>Figures used in calculations which may be amended, copy the required data from columns "K"-"O" to this table.</t>
  </si>
  <si>
    <t>Belgian Ardennes (Achouffe) 3522</t>
  </si>
  <si>
    <t xml:space="preserve">Belgian Golden Ale (Duvel) WLP570 </t>
  </si>
  <si>
    <t xml:space="preserve">Belgian Lambic Blend 3278 </t>
  </si>
  <si>
    <t>Variable</t>
  </si>
  <si>
    <t>Name</t>
  </si>
  <si>
    <t>Extract Max. °/Kg/l.</t>
  </si>
  <si>
    <t>Ferment-ability</t>
  </si>
  <si>
    <t xml:space="preserve"> Colour   EBC</t>
  </si>
  <si>
    <t>Colour Efficiency %</t>
  </si>
  <si>
    <t>Colour Usable</t>
  </si>
  <si>
    <t xml:space="preserve">Belgian Saison 3724 </t>
  </si>
  <si>
    <t>Other (3)</t>
  </si>
  <si>
    <t xml:space="preserve">Belgian Saison I WLP565 </t>
  </si>
  <si>
    <t>Pale malt</t>
  </si>
  <si>
    <t>Belgian Saison II WLP566</t>
  </si>
  <si>
    <t>Lager malt (Pilsner)</t>
  </si>
  <si>
    <t xml:space="preserve">Belgian Bavarian Wheat 3638 </t>
  </si>
  <si>
    <t xml:space="preserve">Flaked ̸ Torrified barley </t>
  </si>
  <si>
    <t xml:space="preserve">Belgian Sour Mix WLP655 </t>
  </si>
  <si>
    <t xml:space="preserve">NA </t>
  </si>
  <si>
    <t>Extract (LIQUID - light)</t>
  </si>
  <si>
    <t xml:space="preserve">Belgian Strong Ale (Duvel) 1388 </t>
  </si>
  <si>
    <t>12-13</t>
  </si>
  <si>
    <t>Extract (DRY - light)</t>
  </si>
  <si>
    <t>Belgian Strong Ale Yeast WLP545</t>
  </si>
  <si>
    <t xml:space="preserve">Belgian Style Ale Yeast Blend WLP575 </t>
  </si>
  <si>
    <t xml:space="preserve">Belgian Wheat 3942 </t>
  </si>
  <si>
    <t xml:space="preserve">Belgian Wit Ale WLP400 </t>
  </si>
  <si>
    <t xml:space="preserve">Belgian Wit II Ale WLP410 </t>
  </si>
  <si>
    <t xml:space="preserve">Belgian Witbier 3944 </t>
  </si>
  <si>
    <t>11-12</t>
  </si>
  <si>
    <t xml:space="preserve">Berliner Weisse Blend WLP630 </t>
  </si>
  <si>
    <t>Biere de Garde 3725</t>
  </si>
  <si>
    <t xml:space="preserve">Bohemian Lager 2124 </t>
  </si>
  <si>
    <t>BEER CALC FERMENTABLES LIST</t>
  </si>
  <si>
    <t>MASTER FERMENTABLES LIST</t>
  </si>
  <si>
    <t>20</t>
  </si>
  <si>
    <t>Lactose (non-fermentable sugar, no boil)</t>
  </si>
  <si>
    <t xml:space="preserve">Brettanomyces Bruxellensis WLP650 </t>
  </si>
  <si>
    <t xml:space="preserve">Brettanomyces Claussenii WLP645 </t>
  </si>
  <si>
    <t xml:space="preserve"> </t>
  </si>
  <si>
    <t>DO NOT copy</t>
  </si>
  <si>
    <t>Brettanomyces Lambicus 5526</t>
  </si>
  <si>
    <t>V High</t>
  </si>
  <si>
    <t xml:space="preserve"> "Max" % amounts using</t>
  </si>
  <si>
    <t xml:space="preserve">Brettanomyces. Bruxellensis 5112 </t>
  </si>
  <si>
    <t>Malt</t>
  </si>
  <si>
    <t>LME</t>
  </si>
  <si>
    <t>DME</t>
  </si>
  <si>
    <t xml:space="preserve">Brewferm Blanche </t>
  </si>
  <si>
    <t xml:space="preserve">Brewferm </t>
  </si>
  <si>
    <t>Dried</t>
  </si>
  <si>
    <t>Malts/Adjuncts</t>
  </si>
  <si>
    <t>Malts</t>
  </si>
  <si>
    <t>Amber malt</t>
  </si>
  <si>
    <t xml:space="preserve">Brewferm Lager </t>
  </si>
  <si>
    <t>Mild Ale malt</t>
  </si>
  <si>
    <t>Brown malt</t>
  </si>
  <si>
    <t xml:space="preserve">British Ale 1098 </t>
  </si>
  <si>
    <t xml:space="preserve">British Ale II 1335 </t>
  </si>
  <si>
    <t>Munich malt</t>
  </si>
  <si>
    <t xml:space="preserve">British Ale WLP005 </t>
  </si>
  <si>
    <t>Vienna malt</t>
  </si>
  <si>
    <t xml:space="preserve">      "Base" malts - mashing required</t>
  </si>
  <si>
    <t xml:space="preserve">British Cask Ale 1026 </t>
  </si>
  <si>
    <t>Wheat malt</t>
  </si>
  <si>
    <t xml:space="preserve">      (assume 100% max unless otherwise stated)</t>
  </si>
  <si>
    <t xml:space="preserve">Budvar Lager 2000 </t>
  </si>
  <si>
    <t>Flaked barley</t>
  </si>
  <si>
    <t xml:space="preserve">Burton Ale WLP023 </t>
  </si>
  <si>
    <t>Flaked maize</t>
  </si>
  <si>
    <t xml:space="preserve">California Ale V WLP051 </t>
  </si>
  <si>
    <t>Other</t>
  </si>
  <si>
    <t xml:space="preserve">California Ale WLP001 </t>
  </si>
  <si>
    <t>Oats</t>
  </si>
  <si>
    <t xml:space="preserve">California Lager 2112 </t>
  </si>
  <si>
    <t>Torrified wheat</t>
  </si>
  <si>
    <t>Adjuncts</t>
  </si>
  <si>
    <t xml:space="preserve">Canadian ̸ Belgian Style 3864 </t>
  </si>
  <si>
    <t xml:space="preserve">Wheat flakes </t>
  </si>
  <si>
    <t xml:space="preserve">Coopers Homebrew Yeast </t>
  </si>
  <si>
    <t xml:space="preserve">Coopers </t>
  </si>
  <si>
    <t>Wheat flour</t>
  </si>
  <si>
    <t>Flaked rice</t>
  </si>
  <si>
    <t xml:space="preserve">Copenhagen Lager WLP850 </t>
  </si>
  <si>
    <t>Wheat malt ̸ Malted wheat</t>
  </si>
  <si>
    <t>Cream Ale Yeast Blend WLP080</t>
  </si>
  <si>
    <t xml:space="preserve">Czech Budejovice Lager WLP802 </t>
  </si>
  <si>
    <t xml:space="preserve">Czech Pils 2278 </t>
  </si>
  <si>
    <t>Extract (DRY - wheat)</t>
  </si>
  <si>
    <t xml:space="preserve">Danish Lager 2042 </t>
  </si>
  <si>
    <t xml:space="preserve">Dry English ale WLP007 </t>
  </si>
  <si>
    <t xml:space="preserve">Dusseldorf Alt WLP036 </t>
  </si>
  <si>
    <t xml:space="preserve">Dutch Castle Yeast 3822 </t>
  </si>
  <si>
    <t>Extract (LIQUID - extra light)</t>
  </si>
  <si>
    <t xml:space="preserve">East Coast Ale WLP008 </t>
  </si>
  <si>
    <t>East Midlands Ale Yeast WLP039</t>
  </si>
  <si>
    <t>Extract (LIQUID - amber/medium)</t>
  </si>
  <si>
    <t>Edinburgh Scottish Ale Yeast WLP028</t>
  </si>
  <si>
    <t>Caramalt Light)</t>
  </si>
  <si>
    <t>Extract (LIQUID - dark)</t>
  </si>
  <si>
    <t xml:space="preserve">English Ale BRY 264 </t>
  </si>
  <si>
    <t>Extract (LIQUID - wheat)</t>
  </si>
  <si>
    <t xml:space="preserve">       50/50 mix</t>
  </si>
  <si>
    <t xml:space="preserve">English Ale WLP002 </t>
  </si>
  <si>
    <t xml:space="preserve">V High </t>
  </si>
  <si>
    <t>Extract (DRY - extra light)</t>
  </si>
  <si>
    <t xml:space="preserve">       Malt Extracts - no mashing req'd</t>
  </si>
  <si>
    <t xml:space="preserve">English Special Bitter 1768 </t>
  </si>
  <si>
    <t>Sugars &amp; Syrups</t>
  </si>
  <si>
    <t xml:space="preserve">Essex Ale Yeast WLP022 </t>
  </si>
  <si>
    <t>Extract (DRY - medium)</t>
  </si>
  <si>
    <t xml:space="preserve">European Ale WLP011 </t>
  </si>
  <si>
    <t>Extract (DRY - dark)</t>
  </si>
  <si>
    <t xml:space="preserve">European Lager II 2247 </t>
  </si>
  <si>
    <t>Extract (DRY - extra dark)</t>
  </si>
  <si>
    <t xml:space="preserve">Farmhouse Ale 3726 </t>
  </si>
  <si>
    <t xml:space="preserve">Forbidden Fruit Yeast 3463 </t>
  </si>
  <si>
    <t>French Ale Yeast WLP039</t>
  </si>
  <si>
    <t>French Saison 3711</t>
  </si>
  <si>
    <t xml:space="preserve">Gambrinus Lager 2002 </t>
  </si>
  <si>
    <t xml:space="preserve">German Ale ̸ Kölsch WLP029 </t>
  </si>
  <si>
    <t xml:space="preserve">German Ale 1007 </t>
  </si>
  <si>
    <t xml:space="preserve">       Crystallised/Roast malts - </t>
  </si>
  <si>
    <t xml:space="preserve">German Ale II WLP003 </t>
  </si>
  <si>
    <t>German Bock Lager WLP833</t>
  </si>
  <si>
    <t xml:space="preserve">      (assume 10% max unless </t>
  </si>
  <si>
    <t xml:space="preserve">German Lager WLP830 </t>
  </si>
  <si>
    <t xml:space="preserve">       otherwise stated)</t>
  </si>
  <si>
    <t xml:space="preserve">German Wheat 3333 </t>
  </si>
  <si>
    <t xml:space="preserve">Hefeweizen Ale WLP300 </t>
  </si>
  <si>
    <t xml:space="preserve">Hefeweizen IV Ale WLP380 </t>
  </si>
  <si>
    <t xml:space="preserve">   Sugars</t>
  </si>
  <si>
    <t xml:space="preserve">Irish Ale 1084 </t>
  </si>
  <si>
    <t xml:space="preserve">Irish Ale WLP004 </t>
  </si>
  <si>
    <t xml:space="preserve">Kölsch 2565 </t>
  </si>
  <si>
    <t xml:space="preserve">Lactobacillus 5335 </t>
  </si>
  <si>
    <t xml:space="preserve">Lactobacillus Delbrueckii 4335 </t>
  </si>
  <si>
    <t>Leuven Pale Ale 3538 {Du Bocq (Corsendonk)}</t>
  </si>
  <si>
    <t xml:space="preserve">London Ale 1028 </t>
  </si>
  <si>
    <t>Lactose (non-fermentable sugar-no boil)</t>
  </si>
  <si>
    <t xml:space="preserve">London Ale III 1318 </t>
  </si>
  <si>
    <t xml:space="preserve">Malto-dextrin </t>
  </si>
  <si>
    <t xml:space="preserve">London Ale WLP013 </t>
  </si>
  <si>
    <t xml:space="preserve">London ESB Ale 1968 </t>
  </si>
  <si>
    <t>Belgian candi sugar white</t>
  </si>
  <si>
    <t xml:space="preserve">Mexican Lager Yeast WLP940 </t>
  </si>
  <si>
    <t>Belgian candi sugar light brown</t>
  </si>
  <si>
    <t xml:space="preserve">Munich Lager 2308 </t>
  </si>
  <si>
    <t>Belgian candi sugar dark brown</t>
  </si>
  <si>
    <t xml:space="preserve">Munton's Premium Gold </t>
  </si>
  <si>
    <t xml:space="preserve">Munton's </t>
  </si>
  <si>
    <t xml:space="preserve">Munton's Standard Yeast </t>
  </si>
  <si>
    <r>
      <t>Belgian candi sugar light</t>
    </r>
    <r>
      <rPr>
        <sz val="8"/>
        <color indexed="8"/>
        <rFont val="Times New Roman"/>
        <family val="1"/>
      </rPr>
      <t xml:space="preserve"> LIQ</t>
    </r>
  </si>
  <si>
    <t xml:space="preserve">North American Lager 2272 </t>
  </si>
  <si>
    <r>
      <t>Belgian candi sugar amber</t>
    </r>
    <r>
      <rPr>
        <sz val="8"/>
        <color indexed="8"/>
        <rFont val="Times New Roman"/>
        <family val="1"/>
      </rPr>
      <t xml:space="preserve"> LIQ</t>
    </r>
  </si>
  <si>
    <t xml:space="preserve">North European Lager BRY 203 </t>
  </si>
  <si>
    <r>
      <t>Belgian candi sugar dark</t>
    </r>
    <r>
      <rPr>
        <sz val="8"/>
        <color indexed="8"/>
        <rFont val="Times New Roman"/>
        <family val="1"/>
      </rPr>
      <t xml:space="preserve"> LIQ</t>
    </r>
  </si>
  <si>
    <t xml:space="preserve">Northwest Ale 1332 </t>
  </si>
  <si>
    <t xml:space="preserve">Nottingham </t>
  </si>
  <si>
    <t xml:space="preserve">Danstar </t>
  </si>
  <si>
    <t>Syrups</t>
  </si>
  <si>
    <t>Barley syrup</t>
  </si>
  <si>
    <t xml:space="preserve">Octoberfest Lager Blend 2633 </t>
  </si>
  <si>
    <t>Black treacle</t>
  </si>
  <si>
    <t xml:space="preserve">Oktoberfest ̸ Märzen WLP820 </t>
  </si>
  <si>
    <t>Golden syrup</t>
  </si>
  <si>
    <t xml:space="preserve">Old Bavarian Lager Yeast WLP920 </t>
  </si>
  <si>
    <t>Glucose (maize) syrup</t>
  </si>
  <si>
    <t xml:space="preserve">Pacific Ale WLP041 </t>
  </si>
  <si>
    <t>Maltose (maize) syrup</t>
  </si>
  <si>
    <t>Pediococcus 5733</t>
  </si>
  <si>
    <t>Organic molasses (Blackstrap)</t>
  </si>
  <si>
    <t xml:space="preserve">Pilsen Lager 2007 </t>
  </si>
  <si>
    <t>To make</t>
  </si>
  <si>
    <t xml:space="preserve">Pilsner Lager WLP800 </t>
  </si>
  <si>
    <t>Invert Sugars</t>
  </si>
  <si>
    <t>Not sure about this info but it's better than now't! (Possibly.)</t>
  </si>
  <si>
    <t>Blackstrap</t>
  </si>
  <si>
    <t>White invert</t>
  </si>
  <si>
    <t xml:space="preserve">Premium Bitter Ale WLP026 </t>
  </si>
  <si>
    <t xml:space="preserve">Ringwood Ale 1187 </t>
  </si>
  <si>
    <t>Roeselare Ale Blend 3763</t>
  </si>
  <si>
    <t xml:space="preserve">Safale S-04 </t>
  </si>
  <si>
    <t xml:space="preserve">Fermentis </t>
  </si>
  <si>
    <t>Black invert sugar</t>
  </si>
  <si>
    <t>Golden Syrup</t>
  </si>
  <si>
    <t>The darker a beer, the harder it is to estimate or discern its colour.</t>
  </si>
  <si>
    <t>When brewing dark beers, the colour extract efficiency reduces &amp; so calculation errors increase.</t>
  </si>
  <si>
    <t># "Extract Max" refers to "Sold As" figures as opposed to "Dry" which can be typically 3-8% higher owing to the lower moisture content.
Colours are "mid-range" figures &amp; can easily vary by 15% or more.
Every manufacturer seems to give different figures.</t>
  </si>
  <si>
    <r>
      <rPr>
        <b/>
        <sz val="8"/>
        <color indexed="10"/>
        <rFont val="Times New Roman"/>
        <family val="1"/>
      </rPr>
      <t>Disclaim</t>
    </r>
    <r>
      <rPr>
        <b/>
        <sz val="8"/>
        <color rgb="FFFF0000"/>
        <rFont val="Times New Roman"/>
        <family val="1"/>
      </rPr>
      <t>er:</t>
    </r>
    <r>
      <rPr>
        <sz val="8"/>
        <color indexed="8"/>
        <rFont val="Times New Roman"/>
        <family val="1"/>
      </rPr>
      <t xml:space="preserve"> E&amp;0E. No responsibility is assumed or implied as a result of using this spreadsheet.</t>
    </r>
  </si>
  <si>
    <t>Copyright Peter J. Laycock 28~10~'12</t>
  </si>
  <si>
    <r>
      <t xml:space="preserve">⁂  </t>
    </r>
    <r>
      <rPr>
        <sz val="10"/>
        <rFont val="Times New Roman"/>
        <family val="1"/>
      </rPr>
      <t>5th hops added at</t>
    </r>
  </si>
  <si>
    <r>
      <rPr>
        <b/>
        <sz val="10"/>
        <color rgb="FFFF0000"/>
        <rFont val="Times New Roman"/>
        <family val="1"/>
      </rPr>
      <t xml:space="preserve">‡ </t>
    </r>
    <r>
      <rPr>
        <b/>
        <u/>
        <sz val="10"/>
        <color rgb="FFFF0000"/>
        <rFont val="Times New Roman"/>
        <family val="1"/>
      </rPr>
      <t>Do not boil the hop extract!</t>
    </r>
  </si>
  <si>
    <r>
      <t xml:space="preserve">Isomerised hop extract </t>
    </r>
    <r>
      <rPr>
        <b/>
        <sz val="10"/>
        <color rgb="FFFF0000"/>
        <rFont val="Times New Roman"/>
        <family val="1"/>
      </rPr>
      <t>‡</t>
    </r>
  </si>
  <si>
    <t>6th/dry</t>
  </si>
  <si>
    <t>1140 Nom.</t>
  </si>
  <si>
    <t>HOP EXTRACT</t>
  </si>
  <si>
    <t>GENERAL NOTES:-</t>
  </si>
  <si>
    <t>Where F.G.'s are calculated, the value is very hit &amp; miss &amp; can be affected by the yeast used etc.</t>
  </si>
  <si>
    <t>Generally the yeast does not need scaling.</t>
  </si>
  <si>
    <t>This sheet needs the "Beer Data Sheet".</t>
  </si>
  <si>
    <t>MALT ̸ MALT EXTRACT CONVERTERS</t>
  </si>
  <si>
    <t>LIQUID Ext.</t>
  </si>
  <si>
    <t>% Nominally 75% is assumed (Wheeler &amp; Protz use 75 &amp; BYO 65% )</t>
  </si>
  <si>
    <t>DRY Ext.</t>
  </si>
  <si>
    <r>
      <rPr>
        <sz val="12"/>
        <color indexed="8"/>
        <rFont val="Times New Roman"/>
        <family val="1"/>
      </rPr>
      <t>°</t>
    </r>
    <r>
      <rPr>
        <sz val="10"/>
        <color indexed="8"/>
        <rFont val="Times New Roman"/>
        <family val="1"/>
      </rPr>
      <t>C (0-30). Carbonation figures apply to glass bottles only (not PET as they expand under pressure).</t>
    </r>
  </si>
  <si>
    <t>General Recipe Comparator</t>
  </si>
  <si>
    <t>% ABV</t>
  </si>
  <si>
    <r>
      <t xml:space="preserve">O.G. </t>
    </r>
    <r>
      <rPr>
        <sz val="10"/>
        <color indexed="57"/>
        <rFont val="Times New Roman"/>
        <family val="1"/>
      </rPr>
      <t>(exc. primer)</t>
    </r>
  </si>
  <si>
    <t>For a bottle ̸ glass size of (ml)</t>
  </si>
  <si>
    <r>
      <t xml:space="preserve">F.G. </t>
    </r>
    <r>
      <rPr>
        <sz val="10"/>
        <color indexed="57"/>
        <rFont val="Times New Roman"/>
        <family val="1"/>
      </rPr>
      <t>(exc. primer)</t>
    </r>
  </si>
  <si>
    <t>Carbohydrates g</t>
  </si>
  <si>
    <t>litres</t>
  </si>
  <si>
    <t>U.K. ̸ U.S.pt</t>
  </si>
  <si>
    <t>BEER 1</t>
  </si>
  <si>
    <t>BEER 2</t>
  </si>
  <si>
    <t>BEER 3</t>
  </si>
  <si>
    <t>% Alpha</t>
  </si>
  <si>
    <t>Wt. 1 (g)</t>
  </si>
  <si>
    <t>Wt. 2 (g)</t>
  </si>
  <si>
    <t>Wt. 3 (g)</t>
  </si>
  <si>
    <t>DEG ̸ K ̸ L</t>
  </si>
  <si>
    <t>lb</t>
  </si>
  <si>
    <t>Fermentable sugar (sucrose equiv. inc. primer)</t>
  </si>
  <si>
    <r>
      <t>Vol's CO</t>
    </r>
    <r>
      <rPr>
        <sz val="8"/>
        <color indexed="8"/>
        <rFont val="Times New Roman"/>
        <family val="1"/>
      </rPr>
      <t>2</t>
    </r>
  </si>
  <si>
    <t>Yeast efficiency % (75 is generally assumed)</t>
  </si>
  <si>
    <t xml:space="preserve">Ale </t>
  </si>
  <si>
    <t>Isomerised hop extract</t>
  </si>
  <si>
    <t>Do not boil</t>
  </si>
  <si>
    <t>Attn. Malt</t>
  </si>
  <si>
    <t>Attn.</t>
  </si>
  <si>
    <t>Attn. Sug</t>
  </si>
  <si>
    <t>Liquid malt extract is normally bought in 1.5Kg cans &amp; dried extract is available in 500g packs, this calculator allows us to modify a recipe volume to suit, thus avoiding the clutter or waste of part filled containers. Just insert the original quantities &amp; the weight(s) of the extract used OR just the water volumes.</t>
  </si>
  <si>
    <t>Attn. no prim Sug</t>
  </si>
  <si>
    <t xml:space="preserve">LEFFE BRUNE </t>
  </si>
  <si>
    <t>O.G. (inc. priming sugar)</t>
  </si>
  <si>
    <t>O.G. (exc. priming sugar)</t>
  </si>
  <si>
    <t>Calories &amp; Carbs.</t>
  </si>
  <si>
    <t>F.G. (exc. priming sugar)</t>
  </si>
  <si>
    <t>F.G. (inc. priming sugar)</t>
  </si>
  <si>
    <t>Quoted vol. =</t>
  </si>
  <si>
    <t>New vol.</t>
  </si>
  <si>
    <t>Alpha Acid</t>
  </si>
  <si>
    <t>Old</t>
  </si>
  <si>
    <t>New</t>
  </si>
  <si>
    <t>Main item Wt. ̸ Vol. for comparison</t>
  </si>
  <si>
    <r>
      <t xml:space="preserve">g  </t>
    </r>
    <r>
      <rPr>
        <b/>
        <sz val="10"/>
        <color rgb="FFFF0000"/>
        <rFont val="Times New Roman"/>
        <family val="1"/>
      </rPr>
      <t>OR</t>
    </r>
    <r>
      <rPr>
        <sz val="10"/>
        <color indexed="8"/>
        <rFont val="Times New Roman"/>
        <family val="1"/>
      </rPr>
      <t xml:space="preserve"> litres</t>
    </r>
  </si>
  <si>
    <r>
      <t xml:space="preserve">g  </t>
    </r>
    <r>
      <rPr>
        <b/>
        <sz val="10"/>
        <color rgb="FFFF0000"/>
        <rFont val="Times New Roman"/>
        <family val="1"/>
      </rPr>
      <t>OR</t>
    </r>
    <r>
      <rPr>
        <sz val="10"/>
        <color rgb="FFFF0000"/>
        <rFont val="Times New Roman"/>
        <family val="1"/>
      </rPr>
      <t xml:space="preserve"> </t>
    </r>
    <r>
      <rPr>
        <sz val="10"/>
        <color indexed="8"/>
        <rFont val="Times New Roman"/>
        <family val="1"/>
      </rPr>
      <t>litres</t>
    </r>
  </si>
  <si>
    <t>Quoted Wt.</t>
  </si>
  <si>
    <t>New Wt.</t>
  </si>
  <si>
    <t>"Un bar aux Folies Bergère" (A Bar at the Folies-Bergère)</t>
  </si>
  <si>
    <t>Édouard Manet.</t>
  </si>
  <si>
    <t>Late hop etc. wt. ‡</t>
  </si>
  <si>
    <t>Styrians</t>
  </si>
  <si>
    <t>Yeast efficiency % (75 nominally)</t>
  </si>
  <si>
    <t>yeast used.</t>
  </si>
  <si>
    <t>Attn. no Sug</t>
  </si>
  <si>
    <t>Volume Converter</t>
  </si>
  <si>
    <r>
      <t>Orig extract value (</t>
    </r>
    <r>
      <rPr>
        <sz val="10"/>
        <color indexed="10"/>
        <rFont val="Times New Roman"/>
        <family val="1"/>
      </rPr>
      <t>liquid only</t>
    </r>
    <r>
      <rPr>
        <sz val="10"/>
        <color indexed="8"/>
        <rFont val="Times New Roman"/>
        <family val="1"/>
      </rPr>
      <t>)</t>
    </r>
  </si>
  <si>
    <t>New extract value</t>
  </si>
  <si>
    <t>"Old" brew efficiency %</t>
  </si>
  <si>
    <r>
      <t>F.G.</t>
    </r>
    <r>
      <rPr>
        <sz val="10"/>
        <color indexed="17"/>
        <rFont val="Times New Roman"/>
        <family val="1"/>
      </rPr>
      <t xml:space="preserve"> </t>
    </r>
    <r>
      <rPr>
        <sz val="10"/>
        <color indexed="57"/>
        <rFont val="Times New Roman"/>
        <family val="1"/>
      </rPr>
      <t>(exc. primer)</t>
    </r>
  </si>
  <si>
    <t>This allows you to make a beer to a specific volume.</t>
  </si>
  <si>
    <t>"Initial" Wt.</t>
  </si>
  <si>
    <t>"New" Wt.</t>
  </si>
  <si>
    <t>"Coloured"   Malts</t>
  </si>
  <si>
    <t>Piggy-Back Calc.</t>
  </si>
  <si>
    <t>See cell AX322</t>
  </si>
  <si>
    <t>Knickers!</t>
  </si>
  <si>
    <t>Init. vol. (L)</t>
  </si>
  <si>
    <t>Hello cheeky!</t>
  </si>
  <si>
    <t>See www.petespintpot.co.uk/piggybeer.html</t>
  </si>
  <si>
    <t>Pete's Beer Calculator</t>
  </si>
  <si>
    <t>KALTENBERG KŐNIG LUDWIG DUNKEL</t>
  </si>
  <si>
    <t>Residual sugar calories</t>
  </si>
  <si>
    <t>KNICKERS!</t>
  </si>
  <si>
    <r>
      <t>Malts  &amp;</t>
    </r>
    <r>
      <rPr>
        <sz val="6"/>
        <color indexed="8"/>
        <rFont val="Times New Roman"/>
        <family val="1"/>
      </rPr>
      <t xml:space="preserve"> </t>
    </r>
    <r>
      <rPr>
        <sz val="9"/>
        <color indexed="8"/>
        <rFont val="Times New Roman"/>
        <family val="1"/>
      </rPr>
      <t>Adjuncts</t>
    </r>
  </si>
  <si>
    <r>
      <t xml:space="preserve">"Coloured" </t>
    </r>
    <r>
      <rPr>
        <sz val="10"/>
        <color indexed="8"/>
        <rFont val="Times New Roman"/>
        <family val="1"/>
      </rPr>
      <t xml:space="preserve"> M</t>
    </r>
    <r>
      <rPr>
        <sz val="9.5"/>
        <color indexed="8"/>
        <rFont val="Times New Roman"/>
        <family val="1"/>
      </rPr>
      <t>alts</t>
    </r>
  </si>
  <si>
    <t xml:space="preserve">hop wt </t>
  </si>
  <si>
    <t xml:space="preserve">water </t>
  </si>
  <si>
    <t>Bitterness (EBU)</t>
  </si>
  <si>
    <t xml:space="preserve">End Boil Time </t>
  </si>
  <si>
    <t>Hop ̸ iso-hop bitterness.</t>
  </si>
  <si>
    <t xml:space="preserve">Total Boil Time </t>
  </si>
  <si>
    <t>Lager</t>
  </si>
  <si>
    <r>
      <rPr>
        <b/>
        <sz val="9"/>
        <color indexed="8"/>
        <rFont val="Times New Roman"/>
        <family val="1"/>
      </rPr>
      <t>EBC</t>
    </r>
    <r>
      <rPr>
        <sz val="9"/>
        <color indexed="8"/>
        <rFont val="Times New Roman"/>
        <family val="1"/>
      </rPr>
      <t xml:space="preserve">: Viewed through 25mm glass/cuvette.   </t>
    </r>
    <r>
      <rPr>
        <b/>
        <sz val="9"/>
        <color indexed="8"/>
        <rFont val="Times New Roman"/>
        <family val="1"/>
      </rPr>
      <t xml:space="preserve"> SRM</t>
    </r>
    <r>
      <rPr>
        <sz val="9"/>
        <color indexed="8"/>
        <rFont val="Times New Roman"/>
        <family val="1"/>
      </rPr>
      <t>: Viewed through 0.5 inch glass/cuvette.</t>
    </r>
  </si>
  <si>
    <t>▼Generally 40% sugars (by wt) is considered the Max., equiv. to 30% by weight if using just malt.</t>
  </si>
  <si>
    <t xml:space="preserve"> Any lactose is added after the boil.</t>
  </si>
  <si>
    <r>
      <t xml:space="preserve">⁂  </t>
    </r>
    <r>
      <rPr>
        <sz val="10"/>
        <rFont val="Times New Roman"/>
        <family val="1"/>
      </rPr>
      <t>6th hops added at</t>
    </r>
  </si>
  <si>
    <r>
      <t xml:space="preserve">⁂    </t>
    </r>
    <r>
      <rPr>
        <sz val="10"/>
        <rFont val="Times New Roman"/>
        <family val="1"/>
      </rPr>
      <t>5th hops added at</t>
    </r>
  </si>
  <si>
    <t>litres / Kg, this figure is normally 2.5 to 3 litres / Kg</t>
  </si>
  <si>
    <r>
      <t xml:space="preserve">And for method </t>
    </r>
    <r>
      <rPr>
        <b/>
        <sz val="10"/>
        <color rgb="FFCC00FF"/>
        <rFont val="Times New Roman"/>
        <family val="1"/>
      </rPr>
      <t>1A</t>
    </r>
    <r>
      <rPr>
        <sz val="10"/>
        <color indexed="8"/>
        <rFont val="Times New Roman"/>
        <family val="1"/>
      </rPr>
      <t>, the vol. is approx.</t>
    </r>
  </si>
  <si>
    <t xml:space="preserve"> Note:- 1 ml of Ritchie's hop extract in 1 litre of beer adds 69 EBU's. See "Beer Data Sheet" cell T16.</t>
  </si>
  <si>
    <t>The hop calc's  use the Dr. Glenn Tinseth method for loose, whole hops.  If using a mesh bag, use about 10% more, if using hop pellets, use about 10% fewer.</t>
  </si>
  <si>
    <t>The hop calculations use Glenn Tinseth's method for loose, whole hops. If the hops are boiled in a mesh bag, use about 10% more, if using hop pellets, use about 10% fewer.</t>
  </si>
  <si>
    <t>litres gives approx.</t>
  </si>
  <si>
    <t>mins nom.</t>
  </si>
  <si>
    <t>(Notice the Bass Ale - RHS of the painting is far superior to any Champagneor the poncy, lesser Prosecco etc.)</t>
  </si>
  <si>
    <r>
      <t xml:space="preserve">O.G. </t>
    </r>
    <r>
      <rPr>
        <sz val="10"/>
        <color rgb="FF008000"/>
        <rFont val="Times New Roman"/>
        <family val="1"/>
      </rPr>
      <t>(exc. primer)</t>
    </r>
  </si>
  <si>
    <r>
      <t>F.G.</t>
    </r>
    <r>
      <rPr>
        <sz val="10"/>
        <color indexed="17"/>
        <rFont val="Times New Roman"/>
        <family val="1"/>
      </rPr>
      <t xml:space="preserve"> </t>
    </r>
    <r>
      <rPr>
        <sz val="10"/>
        <color rgb="FF008000"/>
        <rFont val="Times New Roman"/>
        <family val="1"/>
      </rPr>
      <t>(exc. primer)</t>
    </r>
  </si>
  <si>
    <t>Hops are boiled with any "coloured malts" only before mixing with the malt extract &amp; any sugars</t>
  </si>
  <si>
    <t>The wort is boiled &amp; any sugars are added at the</t>
  </si>
  <si>
    <r>
      <rPr>
        <b/>
        <sz val="14"/>
        <color rgb="FFFF33CC"/>
        <rFont val="Times New Roman"/>
        <family val="1"/>
      </rPr>
      <t>METHOD 2</t>
    </r>
    <r>
      <rPr>
        <b/>
        <sz val="10"/>
        <color rgb="FFFF33CC"/>
        <rFont val="Times New Roman"/>
        <family val="1"/>
      </rPr>
      <t xml:space="preserve"> - the hops are boiled alone before adding to the boile</t>
    </r>
    <r>
      <rPr>
        <b/>
        <sz val="9"/>
        <color rgb="FFFF33CC"/>
        <rFont val="Times New Roman"/>
        <family val="1"/>
      </rPr>
      <t>d wort.</t>
    </r>
  </si>
  <si>
    <r>
      <rPr>
        <b/>
        <sz val="14"/>
        <color rgb="FFFF0000"/>
        <rFont val="Times New Roman"/>
        <family val="1"/>
      </rPr>
      <t>METHOD 1</t>
    </r>
    <r>
      <rPr>
        <b/>
        <sz val="10"/>
        <color rgb="FFFF0000"/>
        <rFont val="Times New Roman"/>
        <family val="1"/>
      </rPr>
      <t xml:space="preserve"> - any sugars added at the</t>
    </r>
  </si>
  <si>
    <t>The hops are boiled alone before adding to the boiled wort.</t>
  </si>
  <si>
    <t>"New" brew efficiency %</t>
  </si>
  <si>
    <r>
      <t xml:space="preserve">MAIN </t>
    </r>
    <r>
      <rPr>
        <b/>
        <sz val="10"/>
        <color rgb="FFCC00FF"/>
        <rFont val="Times New Roman"/>
        <family val="1"/>
      </rPr>
      <t xml:space="preserve">boil vol. &amp; time </t>
    </r>
    <r>
      <rPr>
        <sz val="10"/>
        <color rgb="FFCC00FF"/>
        <rFont val="Times New Roman"/>
        <family val="1"/>
      </rPr>
      <t xml:space="preserve">(cells J70 &amp; J72) are </t>
    </r>
    <r>
      <rPr>
        <b/>
        <sz val="10"/>
        <color rgb="FFCC00FF"/>
        <rFont val="Times New Roman"/>
        <family val="1"/>
      </rPr>
      <t>usually</t>
    </r>
    <r>
      <rPr>
        <sz val="10"/>
        <color rgb="FFCC00FF"/>
        <rFont val="Times New Roman"/>
        <family val="1"/>
      </rPr>
      <t xml:space="preserve"> </t>
    </r>
    <r>
      <rPr>
        <b/>
        <sz val="10"/>
        <color rgb="FFCC00FF"/>
        <rFont val="Times New Roman"/>
        <family val="1"/>
      </rPr>
      <t>chosen</t>
    </r>
    <r>
      <rPr>
        <sz val="10"/>
        <color rgb="FFCC00FF"/>
        <rFont val="Times New Roman"/>
        <family val="1"/>
      </rPr>
      <t xml:space="preserve"> to give </t>
    </r>
    <r>
      <rPr>
        <b/>
        <sz val="10"/>
        <color rgb="FFCC00FF"/>
        <rFont val="Times New Roman"/>
        <family val="1"/>
      </rPr>
      <t xml:space="preserve">20% Utilization </t>
    </r>
    <r>
      <rPr>
        <sz val="10"/>
        <color rgb="FFCC00FF"/>
        <rFont val="Times New Roman"/>
        <family val="1"/>
      </rPr>
      <t>(cell J74).</t>
    </r>
  </si>
  <si>
    <r>
      <t xml:space="preserve">MAIN </t>
    </r>
    <r>
      <rPr>
        <b/>
        <sz val="10"/>
        <color rgb="FFC00000"/>
        <rFont val="Times New Roman"/>
        <family val="1"/>
      </rPr>
      <t xml:space="preserve">boil vol. &amp; time </t>
    </r>
    <r>
      <rPr>
        <sz val="10"/>
        <color rgb="FFC00000"/>
        <rFont val="Times New Roman"/>
        <family val="1"/>
      </rPr>
      <t xml:space="preserve">(cells P70 &amp; P72) are </t>
    </r>
    <r>
      <rPr>
        <b/>
        <sz val="10"/>
        <color rgb="FFC00000"/>
        <rFont val="Times New Roman"/>
        <family val="1"/>
      </rPr>
      <t>usually</t>
    </r>
    <r>
      <rPr>
        <sz val="10"/>
        <color rgb="FFC00000"/>
        <rFont val="Times New Roman"/>
        <family val="1"/>
      </rPr>
      <t xml:space="preserve"> </t>
    </r>
    <r>
      <rPr>
        <b/>
        <sz val="10"/>
        <color rgb="FFC00000"/>
        <rFont val="Times New Roman"/>
        <family val="1"/>
      </rPr>
      <t>chosen</t>
    </r>
    <r>
      <rPr>
        <sz val="10"/>
        <color rgb="FFC00000"/>
        <rFont val="Times New Roman"/>
        <family val="1"/>
      </rPr>
      <t xml:space="preserve"> to give </t>
    </r>
    <r>
      <rPr>
        <b/>
        <sz val="10"/>
        <color rgb="FFC00000"/>
        <rFont val="Times New Roman"/>
        <family val="1"/>
      </rPr>
      <t xml:space="preserve">20% Utilization </t>
    </r>
    <r>
      <rPr>
        <sz val="10"/>
        <color rgb="FFC00000"/>
        <rFont val="Times New Roman"/>
        <family val="1"/>
      </rPr>
      <t>(cell P74).</t>
    </r>
  </si>
  <si>
    <t>Name / style</t>
  </si>
  <si>
    <t>Beer Name / style</t>
  </si>
  <si>
    <t xml:space="preserve">  (No Grain)</t>
  </si>
  <si>
    <t xml:space="preserve">     Denotes "editable" cells, add your own data.</t>
  </si>
  <si>
    <r>
      <rPr>
        <sz val="12"/>
        <color indexed="8"/>
        <rFont val="Times New Roman"/>
        <family val="1"/>
      </rPr>
      <t>°</t>
    </r>
    <r>
      <rPr>
        <sz val="10"/>
        <color indexed="8"/>
        <rFont val="Times New Roman"/>
        <family val="1"/>
      </rPr>
      <t>C (0-30)</t>
    </r>
  </si>
  <si>
    <t>G. F. B.</t>
  </si>
  <si>
    <t>O.G. (exc. primer ̸ lactose)</t>
  </si>
  <si>
    <r>
      <rPr>
        <b/>
        <sz val="10"/>
        <color indexed="8"/>
        <rFont val="Times New Roman"/>
        <family val="1"/>
      </rPr>
      <t xml:space="preserve">"Effective" O.G. </t>
    </r>
    <r>
      <rPr>
        <sz val="10"/>
        <color indexed="10"/>
        <rFont val="Times New Roman"/>
        <family val="1"/>
      </rPr>
      <t>(inc. primer etc)</t>
    </r>
  </si>
  <si>
    <t>F.G. (exc. primer ̸ lactose)</t>
  </si>
  <si>
    <r>
      <rPr>
        <b/>
        <sz val="10"/>
        <color indexed="8"/>
        <rFont val="Times New Roman"/>
        <family val="1"/>
      </rPr>
      <t>"Effective" F.G.</t>
    </r>
    <r>
      <rPr>
        <b/>
        <sz val="10"/>
        <color indexed="10"/>
        <rFont val="Times New Roman"/>
        <family val="1"/>
      </rPr>
      <t xml:space="preserve"> </t>
    </r>
    <r>
      <rPr>
        <sz val="10"/>
        <color indexed="10"/>
        <rFont val="Times New Roman"/>
        <family val="1"/>
      </rPr>
      <t>(inc. primer etc)</t>
    </r>
  </si>
  <si>
    <r>
      <rPr>
        <b/>
        <sz val="10"/>
        <color indexed="8"/>
        <rFont val="Times New Roman"/>
        <family val="1"/>
      </rPr>
      <t xml:space="preserve">Carbonation </t>
    </r>
    <r>
      <rPr>
        <sz val="10"/>
        <color indexed="10"/>
        <rFont val="Times New Roman"/>
        <family val="1"/>
      </rPr>
      <t>(inc. primer)</t>
    </r>
  </si>
  <si>
    <r>
      <t xml:space="preserve">Bitterness - </t>
    </r>
    <r>
      <rPr>
        <b/>
        <sz val="10"/>
        <color rgb="FFCC00FF"/>
        <rFont val="Times New Roman"/>
        <family val="1"/>
      </rPr>
      <t>Method 1A</t>
    </r>
    <r>
      <rPr>
        <sz val="10"/>
        <color rgb="FFCC00FF"/>
        <rFont val="Times New Roman"/>
        <family val="1"/>
      </rPr>
      <t xml:space="preserve">   </t>
    </r>
  </si>
  <si>
    <r>
      <rPr>
        <sz val="10"/>
        <color theme="0"/>
        <rFont val="Times New Roman"/>
        <family val="1"/>
      </rPr>
      <t xml:space="preserve">Bitterness </t>
    </r>
    <r>
      <rPr>
        <sz val="10"/>
        <color rgb="FFFF33CC"/>
        <rFont val="Times New Roman"/>
        <family val="1"/>
      </rPr>
      <t xml:space="preserve">- OR </t>
    </r>
    <r>
      <rPr>
        <b/>
        <sz val="10"/>
        <color rgb="FFFF66CC"/>
        <rFont val="Times New Roman"/>
        <family val="1"/>
      </rPr>
      <t>Method 2</t>
    </r>
  </si>
  <si>
    <r>
      <rPr>
        <b/>
        <sz val="8"/>
        <color indexed="8"/>
        <rFont val="Times New Roman"/>
        <family val="1"/>
      </rPr>
      <t>EBC</t>
    </r>
    <r>
      <rPr>
        <sz val="8"/>
        <color indexed="8"/>
        <rFont val="Times New Roman"/>
        <family val="1"/>
      </rPr>
      <t xml:space="preserve">: Viewed through 25mm glass/cuvette.   </t>
    </r>
    <r>
      <rPr>
        <b/>
        <sz val="8"/>
        <color indexed="8"/>
        <rFont val="Times New Roman"/>
        <family val="1"/>
      </rPr>
      <t xml:space="preserve"> SRM</t>
    </r>
    <r>
      <rPr>
        <sz val="8"/>
        <color indexed="8"/>
        <rFont val="Times New Roman"/>
        <family val="1"/>
      </rPr>
      <t>: Viewed through 0.5 inch glass/cuvette.</t>
    </r>
  </si>
  <si>
    <r>
      <t xml:space="preserve">All figures shown in </t>
    </r>
    <r>
      <rPr>
        <sz val="10"/>
        <color indexed="55"/>
        <rFont val="Times New Roman"/>
        <family val="1"/>
      </rPr>
      <t>grey</t>
    </r>
    <r>
      <rPr>
        <sz val="10"/>
        <color indexed="8"/>
        <rFont val="Times New Roman"/>
        <family val="1"/>
      </rPr>
      <t xml:space="preserve"> may be ignored - for information only.</t>
    </r>
  </si>
  <si>
    <t>METHOD 1</t>
  </si>
  <si>
    <t>Gluten Free Brewing Extract ̸ Syrups</t>
  </si>
  <si>
    <t>Any sugars added at the</t>
  </si>
  <si>
    <t>The hops are boiled alone.</t>
  </si>
  <si>
    <t xml:space="preserve">Admiral </t>
  </si>
  <si>
    <t>Brambling Cross</t>
  </si>
  <si>
    <r>
      <t xml:space="preserve">Sugars Etc. </t>
    </r>
    <r>
      <rPr>
        <sz val="9"/>
        <color rgb="FF3366FF"/>
        <rFont val="Times New Roman"/>
        <family val="1"/>
      </rPr>
      <t>(normally 30% max.)</t>
    </r>
  </si>
  <si>
    <r>
      <t>Hallertauer (</t>
    </r>
    <r>
      <rPr>
        <sz val="10"/>
        <color indexed="10"/>
        <rFont val="Times New Roman"/>
        <family val="1"/>
      </rPr>
      <t>"German"</t>
    </r>
    <r>
      <rPr>
        <sz val="10"/>
        <color indexed="8"/>
        <rFont val="Times New Roman"/>
        <family val="1"/>
      </rPr>
      <t>)</t>
    </r>
  </si>
  <si>
    <r>
      <t>Hallertauer (</t>
    </r>
    <r>
      <rPr>
        <sz val="10"/>
        <color indexed="10"/>
        <rFont val="Times New Roman"/>
        <family val="1"/>
      </rPr>
      <t>"Pacific"</t>
    </r>
    <r>
      <rPr>
        <sz val="10"/>
        <color indexed="8"/>
        <rFont val="Times New Roman"/>
        <family val="1"/>
      </rPr>
      <t>)</t>
    </r>
  </si>
  <si>
    <t>North Brewer</t>
  </si>
  <si>
    <t>Generally 40% sugars (by wt) is considered the Max., equiv. to 30% by weight if using just malt.</t>
  </si>
  <si>
    <t>k</t>
  </si>
  <si>
    <t>This is equivalent to</t>
  </si>
  <si>
    <t>Spalter Select</t>
  </si>
  <si>
    <t>Atten NO prime sug</t>
  </si>
  <si>
    <t>Tetnanger</t>
  </si>
  <si>
    <t>Other (4)</t>
  </si>
  <si>
    <r>
      <t xml:space="preserve">MAIN Boil </t>
    </r>
    <r>
      <rPr>
        <b/>
        <sz val="9"/>
        <color rgb="FFC00000"/>
        <rFont val="Times New Roman"/>
        <family val="1"/>
      </rPr>
      <t>vol. ̸ time</t>
    </r>
    <r>
      <rPr>
        <sz val="9"/>
        <color rgb="FFC00000"/>
        <rFont val="Times New Roman"/>
        <family val="1"/>
      </rPr>
      <t xml:space="preserve"> </t>
    </r>
    <r>
      <rPr>
        <b/>
        <sz val="9"/>
        <color rgb="FFC00000"/>
        <rFont val="Times New Roman"/>
        <family val="1"/>
      </rPr>
      <t>usually chosen</t>
    </r>
    <r>
      <rPr>
        <sz val="9"/>
        <color rgb="FFC00000"/>
        <rFont val="Times New Roman"/>
        <family val="1"/>
      </rPr>
      <t xml:space="preserve"> to give </t>
    </r>
    <r>
      <rPr>
        <b/>
        <sz val="9"/>
        <color rgb="FFC00000"/>
        <rFont val="Times New Roman"/>
        <family val="1"/>
      </rPr>
      <t>20% Utilization</t>
    </r>
    <r>
      <rPr>
        <sz val="9"/>
        <color rgb="FFC00000"/>
        <rFont val="Times New Roman"/>
        <family val="1"/>
      </rPr>
      <t>.</t>
    </r>
  </si>
  <si>
    <t xml:space="preserve">hop times </t>
  </si>
  <si>
    <t>Iso-hop extract bitterness</t>
  </si>
  <si>
    <t xml:space="preserve"> Any late hops are added after the appropriate time(s).  </t>
  </si>
  <si>
    <t xml:space="preserve">The hop calculations use the Dr. Glenn Tinseth method for loose, whole hops. If the hops are used in a mesh bag, use about 10% more. When using hop pellets, use about 10% fewer.
</t>
  </si>
  <si>
    <t>The length of the boil time is a factor in the bitterness of a beer, up to a certain point. However, the beers hop flavour is said to reach a maximum after about 20 mins. &amp; the hop aroma after just 7 or 8 mins.</t>
  </si>
  <si>
    <t xml:space="preserve">Approx. </t>
  </si>
  <si>
    <t>4.725g ̸ litre (1.5 level tsp) for porters ̸ stouts</t>
  </si>
  <si>
    <t>Copyright Peter J. Laycock 28~10~'17</t>
  </si>
  <si>
    <r>
      <rPr>
        <b/>
        <sz val="10"/>
        <color indexed="10"/>
        <rFont val="Times New Roman"/>
        <family val="1"/>
      </rPr>
      <t>Disclaime</t>
    </r>
    <r>
      <rPr>
        <b/>
        <sz val="10"/>
        <color rgb="FFFF0000"/>
        <rFont val="Times New Roman"/>
        <family val="1"/>
      </rPr>
      <t>r:</t>
    </r>
    <r>
      <rPr>
        <sz val="10"/>
        <color indexed="23"/>
        <rFont val="Times New Roman"/>
        <family val="1"/>
      </rPr>
      <t xml:space="preserve"> </t>
    </r>
    <r>
      <rPr>
        <sz val="10"/>
        <rFont val="Times New Roman"/>
        <family val="1"/>
      </rPr>
      <t>E&amp;OE. No responsibility is assumed or implied as a result of using this spreadsheet.</t>
    </r>
  </si>
  <si>
    <t>FIGURES USED IN THE ABOVE CALCULATOR. (All are editable.)</t>
  </si>
  <si>
    <t>Fermentation</t>
  </si>
  <si>
    <t xml:space="preserve">% </t>
  </si>
  <si>
    <t>White Sorghum Syrup</t>
  </si>
  <si>
    <t>Clarified Brown Rice Syrup</t>
  </si>
  <si>
    <t>Corn Syrup (10% max.)</t>
  </si>
  <si>
    <t>Lactose (non-fermentable sugar)</t>
  </si>
  <si>
    <r>
      <t>Dextrose</t>
    </r>
    <r>
      <rPr>
        <sz val="8"/>
        <color indexed="8"/>
        <rFont val="Times New Roman"/>
        <family val="1"/>
      </rPr>
      <t xml:space="preserve"> Monohydrate (Brewing/corn sugar)</t>
    </r>
  </si>
  <si>
    <r>
      <t xml:space="preserve">MAIN Boil </t>
    </r>
    <r>
      <rPr>
        <b/>
        <sz val="9"/>
        <color rgb="FFCC00FF"/>
        <rFont val="Times New Roman"/>
        <family val="1"/>
      </rPr>
      <t>vol. ̸ time</t>
    </r>
    <r>
      <rPr>
        <sz val="9"/>
        <color rgb="FFCC00FF"/>
        <rFont val="Times New Roman"/>
        <family val="1"/>
      </rPr>
      <t xml:space="preserve"> </t>
    </r>
    <r>
      <rPr>
        <b/>
        <sz val="9"/>
        <color rgb="FFCC00FF"/>
        <rFont val="Times New Roman"/>
        <family val="1"/>
      </rPr>
      <t>usually chosen</t>
    </r>
    <r>
      <rPr>
        <sz val="9"/>
        <color rgb="FFCC00FF"/>
        <rFont val="Times New Roman"/>
        <family val="1"/>
      </rPr>
      <t xml:space="preserve"> to give </t>
    </r>
    <r>
      <rPr>
        <b/>
        <sz val="9"/>
        <color rgb="FFCC00FF"/>
        <rFont val="Times New Roman"/>
        <family val="1"/>
      </rPr>
      <t>20% Utilization</t>
    </r>
    <r>
      <rPr>
        <sz val="9"/>
        <color rgb="FFCC00FF"/>
        <rFont val="Times New Roman"/>
        <family val="1"/>
      </rPr>
      <t>.</t>
    </r>
  </si>
  <si>
    <r>
      <t xml:space="preserve">MAIN </t>
    </r>
    <r>
      <rPr>
        <b/>
        <sz val="9"/>
        <color rgb="FFFF33CC"/>
        <rFont val="Times New Roman"/>
        <family val="1"/>
      </rPr>
      <t>Boil vol. ̸ time</t>
    </r>
    <r>
      <rPr>
        <sz val="9"/>
        <color rgb="FFFF33CC"/>
        <rFont val="Times New Roman"/>
        <family val="1"/>
      </rPr>
      <t xml:space="preserve"> </t>
    </r>
    <r>
      <rPr>
        <b/>
        <sz val="9"/>
        <color rgb="FFFF33CC"/>
        <rFont val="Times New Roman"/>
        <family val="1"/>
      </rPr>
      <t>chosen</t>
    </r>
    <r>
      <rPr>
        <sz val="9"/>
        <color rgb="FFFF33CC"/>
        <rFont val="Times New Roman"/>
        <family val="1"/>
      </rPr>
      <t xml:space="preserve"> to give a </t>
    </r>
    <r>
      <rPr>
        <b/>
        <sz val="9"/>
        <color rgb="FFFF33CC"/>
        <rFont val="Times New Roman"/>
        <family val="1"/>
      </rPr>
      <t>high</t>
    </r>
    <r>
      <rPr>
        <sz val="9"/>
        <color rgb="FFFF33CC"/>
        <rFont val="Times New Roman"/>
        <family val="1"/>
      </rPr>
      <t xml:space="preserve"> </t>
    </r>
    <r>
      <rPr>
        <b/>
        <sz val="9"/>
        <color rgb="FFFF33CC"/>
        <rFont val="Times New Roman"/>
        <family val="1"/>
      </rPr>
      <t>Utilization</t>
    </r>
    <r>
      <rPr>
        <sz val="9"/>
        <color rgb="FFFF33CC"/>
        <rFont val="Times New Roman"/>
        <family val="1"/>
      </rPr>
      <t>!</t>
    </r>
  </si>
  <si>
    <t>Rows from the first five columns may be copied &amp; pasted into the LHS table in order to appear in the calculators.</t>
  </si>
  <si>
    <t xml:space="preserve">       no mashing required</t>
  </si>
  <si>
    <t>A Few Typical Beer Styles Carbonation Levels.</t>
  </si>
  <si>
    <t>Denotes an editable cell.</t>
  </si>
  <si>
    <t>Style</t>
  </si>
  <si>
    <r>
      <t>Volume CO</t>
    </r>
    <r>
      <rPr>
        <b/>
        <sz val="7"/>
        <color indexed="8"/>
        <rFont val="Times New Roman"/>
        <family val="1"/>
      </rPr>
      <t>2</t>
    </r>
  </si>
  <si>
    <t>High</t>
  </si>
  <si>
    <t>Value</t>
  </si>
  <si>
    <t>METRIC UNITS</t>
  </si>
  <si>
    <t>All calculations are approximate.</t>
  </si>
  <si>
    <t xml:space="preserve">American Amber Ale </t>
  </si>
  <si>
    <t xml:space="preserve">American Brown </t>
  </si>
  <si>
    <t>Chosen</t>
  </si>
  <si>
    <t>Brew</t>
  </si>
  <si>
    <t>Sugar (Sucrose) g/</t>
  </si>
  <si>
    <t xml:space="preserve">American Lager </t>
  </si>
  <si>
    <t>Carb.</t>
  </si>
  <si>
    <t>Temp.</t>
  </si>
  <si>
    <t xml:space="preserve">American Pale Ale </t>
  </si>
  <si>
    <t>American Pilsner</t>
  </si>
  <si>
    <t>American Wheat</t>
  </si>
  <si>
    <t>level 5ml tsp.</t>
  </si>
  <si>
    <t xml:space="preserve">Bamberg Rauchbier </t>
  </si>
  <si>
    <t xml:space="preserve">Belgian Ale </t>
  </si>
  <si>
    <t>UK IMPERIAL UNITS</t>
  </si>
  <si>
    <t>Belgian Dubbel</t>
  </si>
  <si>
    <t>Belgian Fruit Lambic</t>
  </si>
  <si>
    <t>Sugar (Sucrose) oz/</t>
  </si>
  <si>
    <t xml:space="preserve">Belgian Lambic </t>
  </si>
  <si>
    <t xml:space="preserve">Belgian Tripel </t>
  </si>
  <si>
    <t>°F</t>
  </si>
  <si>
    <t xml:space="preserve">Berliner Weisse </t>
  </si>
  <si>
    <t>gm</t>
  </si>
  <si>
    <t>Biere De Garde</t>
  </si>
  <si>
    <t>Bock</t>
  </si>
  <si>
    <t>Bohemian Pilsner</t>
  </si>
  <si>
    <t>US UNITS</t>
  </si>
  <si>
    <t>California Common</t>
  </si>
  <si>
    <t>Cream Ale</t>
  </si>
  <si>
    <t>Dopple Bock</t>
  </si>
  <si>
    <t>Dortmunder Export</t>
  </si>
  <si>
    <t>Dunkelweizen</t>
  </si>
  <si>
    <t>Dusseldorf Altbier</t>
  </si>
  <si>
    <t>Eisbock</t>
  </si>
  <si>
    <t>English Bitter</t>
  </si>
  <si>
    <t xml:space="preserve">English Brown </t>
  </si>
  <si>
    <t>English Mild</t>
  </si>
  <si>
    <t>Temperature Converter</t>
  </si>
  <si>
    <t>English Old/Strong Ale</t>
  </si>
  <si>
    <t>Deg</t>
  </si>
  <si>
    <t>English Pale Ale</t>
  </si>
  <si>
    <t>Wt. oz</t>
  </si>
  <si>
    <t>Flanders Brown</t>
  </si>
  <si>
    <t>Foreign-Style Stout</t>
  </si>
  <si>
    <t>Weight Converter</t>
  </si>
  <si>
    <t>German Pilsner</t>
  </si>
  <si>
    <t>wt</t>
  </si>
  <si>
    <t>Helles Bock</t>
  </si>
  <si>
    <t>Imperial Stout</t>
  </si>
  <si>
    <t>India Pale Ale</t>
  </si>
  <si>
    <t>Volume Converters</t>
  </si>
  <si>
    <t>Irish Dry Stout</t>
  </si>
  <si>
    <t>UK</t>
  </si>
  <si>
    <t>Litre</t>
  </si>
  <si>
    <t>Kölsch</t>
  </si>
  <si>
    <t>Galls</t>
  </si>
  <si>
    <t>Lagers (Australian)</t>
  </si>
  <si>
    <t>Lagers (US &amp; Euro.)</t>
  </si>
  <si>
    <t>Lambic/Gueuze</t>
  </si>
  <si>
    <t>Maibock</t>
  </si>
  <si>
    <t>Marzen/Oktoberfest</t>
  </si>
  <si>
    <t>Munchner Helles</t>
  </si>
  <si>
    <t>Munich Dunkel</t>
  </si>
  <si>
    <t>Oud Bruin</t>
  </si>
  <si>
    <t>Priming Sugar (Sucrose)</t>
  </si>
  <si>
    <t>Porter</t>
  </si>
  <si>
    <t>Schwarzbier</t>
  </si>
  <si>
    <t>3.15g ̸ litre (1 level 5ml tsp) for (British) ales.</t>
  </si>
  <si>
    <t>Scottish Ale</t>
  </si>
  <si>
    <t>Stout - Dry</t>
  </si>
  <si>
    <t>Stout - Foreign Extra</t>
  </si>
  <si>
    <t>Stout - Sweet/Oatmeal</t>
  </si>
  <si>
    <t>Strong Scotch Ale</t>
  </si>
  <si>
    <t>Vienna</t>
  </si>
  <si>
    <t>Weizen/Weissbier</t>
  </si>
  <si>
    <t>Ciders, home-made &amp; fizzy.</t>
  </si>
  <si>
    <t>Sparkling wines, home-made, use Champagne bottles.</t>
  </si>
  <si>
    <t>4 Max.</t>
  </si>
  <si>
    <t>SUCROSE</t>
  </si>
  <si>
    <t>Sugar/sucrose (g)</t>
  </si>
  <si>
    <t>Where 1g Sucrose gives</t>
  </si>
  <si>
    <r>
      <t>litres CO</t>
    </r>
    <r>
      <rPr>
        <sz val="8"/>
        <color indexed="8"/>
        <rFont val="Times New Roman"/>
        <family val="1"/>
      </rPr>
      <t>2</t>
    </r>
  </si>
  <si>
    <t>Nominally</t>
  </si>
  <si>
    <t>Black Treacle</t>
  </si>
  <si>
    <t>Brown Sugar</t>
  </si>
  <si>
    <t>Candi sugar</t>
  </si>
  <si>
    <t>Corn Syrup</t>
  </si>
  <si>
    <t>GLUCOSE  (HYDROUS &amp; DEXTROSE)</t>
  </si>
  <si>
    <t>Demarara</t>
  </si>
  <si>
    <t>Where 1g Glucose gives</t>
  </si>
  <si>
    <t>Honey</t>
  </si>
  <si>
    <t>Invert Sugar Syrup</t>
  </si>
  <si>
    <t>Maple Syrup</t>
  </si>
  <si>
    <t>Molasses</t>
  </si>
  <si>
    <r>
      <t>Vol. CO</t>
    </r>
    <r>
      <rPr>
        <sz val="8"/>
        <color indexed="8"/>
        <rFont val="Times New Roman"/>
        <family val="1"/>
      </rPr>
      <t>2</t>
    </r>
  </si>
  <si>
    <r>
      <rPr>
        <sz val="12"/>
        <color theme="0" tint="-0.499984740745262"/>
        <rFont val="Times New Roman"/>
        <family val="1"/>
      </rPr>
      <t>°</t>
    </r>
    <r>
      <rPr>
        <sz val="11"/>
        <color theme="0" tint="-0.499984740745262"/>
        <rFont val="Times New Roman"/>
        <family val="1"/>
      </rPr>
      <t xml:space="preserve">F </t>
    </r>
  </si>
  <si>
    <t>Sucrose g ̸ l</t>
  </si>
  <si>
    <t>Max. rec. 4</t>
  </si>
  <si>
    <r>
      <t>0-30</t>
    </r>
    <r>
      <rPr>
        <sz val="12"/>
        <color theme="0" tint="-0.499984740745262"/>
        <rFont val="Times New Roman"/>
        <family val="1"/>
      </rPr>
      <t>°</t>
    </r>
    <r>
      <rPr>
        <sz val="11"/>
        <color theme="0" tint="-0.499984740745262"/>
        <rFont val="Times New Roman"/>
        <family val="1"/>
      </rPr>
      <t>C</t>
    </r>
  </si>
  <si>
    <r>
      <rPr>
        <b/>
        <sz val="10"/>
        <color indexed="10"/>
        <rFont val="Times New Roman"/>
        <family val="1"/>
      </rPr>
      <t>Disclaime</t>
    </r>
    <r>
      <rPr>
        <b/>
        <sz val="10"/>
        <color rgb="FFFF0000"/>
        <rFont val="Times New Roman"/>
        <family val="1"/>
      </rPr>
      <t>r</t>
    </r>
    <r>
      <rPr>
        <sz val="10"/>
        <color rgb="FFFF0000"/>
        <rFont val="Times New Roman"/>
        <family val="1"/>
      </rPr>
      <t xml:space="preserve">: </t>
    </r>
    <r>
      <rPr>
        <sz val="10"/>
        <rFont val="Times New Roman"/>
        <family val="1"/>
      </rPr>
      <t>E&amp;OE. No responsibility is assumed or implied as a result of using this spreadsheet.</t>
    </r>
  </si>
  <si>
    <t>Copyright Peter J. Laycock 28~10~'6</t>
  </si>
  <si>
    <t>Volume</t>
  </si>
  <si>
    <t>Belgian Candy Sugar</t>
  </si>
  <si>
    <t>Belgian Candy Syrup</t>
  </si>
  <si>
    <t>Turbinado</t>
  </si>
  <si>
    <t>For more information about carbonation see "Beer Primer" page.</t>
  </si>
  <si>
    <r>
      <t xml:space="preserve">MAIN </t>
    </r>
    <r>
      <rPr>
        <b/>
        <sz val="10"/>
        <color rgb="FFFF33CC"/>
        <rFont val="Times New Roman"/>
        <family val="1"/>
      </rPr>
      <t>boil vol. &amp; time</t>
    </r>
    <r>
      <rPr>
        <sz val="10"/>
        <color rgb="FFFF33CC"/>
        <rFont val="Times New Roman"/>
        <family val="1"/>
      </rPr>
      <t xml:space="preserve"> (cells V70 &amp; V72) </t>
    </r>
    <r>
      <rPr>
        <b/>
        <sz val="10"/>
        <color rgb="FFFF33CC"/>
        <rFont val="Times New Roman"/>
        <family val="1"/>
      </rPr>
      <t>are chosen</t>
    </r>
    <r>
      <rPr>
        <sz val="10"/>
        <color rgb="FFFF33CC"/>
        <rFont val="Times New Roman"/>
        <family val="1"/>
      </rPr>
      <t xml:space="preserve"> to give a </t>
    </r>
    <r>
      <rPr>
        <b/>
        <sz val="10"/>
        <color rgb="FFFF33CC"/>
        <rFont val="Times New Roman"/>
        <family val="1"/>
      </rPr>
      <t>high Utilization</t>
    </r>
    <r>
      <rPr>
        <sz val="10"/>
        <color rgb="FFFF33CC"/>
        <rFont val="Times New Roman"/>
        <family val="1"/>
      </rPr>
      <t xml:space="preserve"> (cell V74).</t>
    </r>
  </si>
  <si>
    <r>
      <t>Malted grains must be mashed with any adjuncts, coloured malts are generally included in the process, but, when extract brewing, they may be steeped or boiled with the hops.
When mashing add the dry goods (excluding any extracts, sugars etc.) to the heated water, at the "strike" temp. (around 72-73</t>
    </r>
    <r>
      <rPr>
        <sz val="11"/>
        <color indexed="8"/>
        <rFont val="Times New Roman"/>
        <family val="1"/>
      </rPr>
      <t>°</t>
    </r>
    <r>
      <rPr>
        <sz val="10"/>
        <color indexed="8"/>
        <rFont val="Times New Roman"/>
        <family val="1"/>
      </rPr>
      <t>C). Normally we would mash for 60-90mins between 63-67</t>
    </r>
    <r>
      <rPr>
        <sz val="11"/>
        <color indexed="8"/>
        <rFont val="Times New Roman"/>
        <family val="1"/>
      </rPr>
      <t>°</t>
    </r>
    <r>
      <rPr>
        <sz val="10"/>
        <color indexed="8"/>
        <rFont val="Times New Roman"/>
        <family val="1"/>
      </rPr>
      <t>C, the longer mash improves the beers keeping properties although this not usually a problem! Long mashes also improve the efficiency of the mash, as does the water ̸ kg ratio, The thinner the mash, the higher the efficiency. Lower mash temperatures effectively increase the yeasts efficiency to give lower FG's &amp; hence produce more alcohol.</t>
    </r>
  </si>
  <si>
    <t xml:space="preserve">       with "Base" malts</t>
  </si>
  <si>
    <t xml:space="preserve">        Adjuncts - need mashing</t>
  </si>
  <si>
    <t xml:space="preserve">       Sugars/syrups - no mashing required</t>
  </si>
  <si>
    <t xml:space="preserve">       (assume 30% max unless otherwise stated)</t>
  </si>
  <si>
    <t>www.winning-homebrew.com/brewing-sugars.html</t>
  </si>
  <si>
    <t>Wilko Wheat Beer</t>
  </si>
  <si>
    <t>Original</t>
  </si>
  <si>
    <t>I personally believe that kits should be made &amp; tasted BEFORE making modifications to a subsequent kit of the same type.</t>
  </si>
  <si>
    <t xml:space="preserve">The Beer Kit Modifier calculator will probably be the first calculator the inquisitive kit brewer would want to use, reducing the amount of sugar used in budget kits by about 25%, effectively reducing the alcohol by less than 0.6%, is the easiest way to improve such beers. I also find that reducing the recommended volume by 20% &amp; halving the quantity of sugar gives very good results &amp; the bitterness is increased proportionately. The OG &amp; FG are raised slightly &amp; the alcohol is slightly lower. Big improvements can also be made by replacing some or all of the sugar with malt extract but at extra cost, thus making budget/mid-priced kits more expensive than the original kits. </t>
  </si>
  <si>
    <r>
      <t>Kit extract Wt. (</t>
    </r>
    <r>
      <rPr>
        <b/>
        <sz val="10"/>
        <color indexed="48"/>
        <rFont val="Times New Roman"/>
        <family val="1"/>
      </rPr>
      <t>liquid</t>
    </r>
    <r>
      <rPr>
        <sz val="10"/>
        <color indexed="8"/>
        <rFont val="Times New Roman"/>
        <family val="1"/>
      </rPr>
      <t xml:space="preserve"> g)</t>
    </r>
  </si>
  <si>
    <r>
      <t>Kit extract Wt. (</t>
    </r>
    <r>
      <rPr>
        <b/>
        <sz val="10"/>
        <color indexed="60"/>
        <rFont val="Times New Roman"/>
        <family val="1"/>
      </rPr>
      <t>dry</t>
    </r>
    <r>
      <rPr>
        <sz val="10"/>
        <color indexed="8"/>
        <rFont val="Times New Roman"/>
        <family val="1"/>
      </rPr>
      <t xml:space="preserve"> g)</t>
    </r>
  </si>
  <si>
    <r>
      <t xml:space="preserve">Additional </t>
    </r>
    <r>
      <rPr>
        <b/>
        <sz val="10"/>
        <color indexed="48"/>
        <rFont val="Times New Roman"/>
        <family val="1"/>
      </rPr>
      <t>liquid</t>
    </r>
    <r>
      <rPr>
        <sz val="10"/>
        <color indexed="12"/>
        <rFont val="Times New Roman"/>
        <family val="1"/>
      </rPr>
      <t xml:space="preserve"> </t>
    </r>
    <r>
      <rPr>
        <sz val="10"/>
        <color indexed="8"/>
        <rFont val="Times New Roman"/>
        <family val="1"/>
      </rPr>
      <t>extract (g)</t>
    </r>
  </si>
  <si>
    <r>
      <t xml:space="preserve">Additional </t>
    </r>
    <r>
      <rPr>
        <b/>
        <sz val="10"/>
        <color indexed="60"/>
        <rFont val="Times New Roman"/>
        <family val="1"/>
      </rPr>
      <t>dry</t>
    </r>
    <r>
      <rPr>
        <sz val="11"/>
        <color indexed="8"/>
        <rFont val="Times New Roman"/>
        <family val="1"/>
      </rPr>
      <t xml:space="preserve"> </t>
    </r>
    <r>
      <rPr>
        <sz val="10"/>
        <color indexed="8"/>
        <rFont val="Times New Roman"/>
        <family val="1"/>
      </rPr>
      <t>extract (g)</t>
    </r>
  </si>
  <si>
    <t>For more information visit:-</t>
  </si>
  <si>
    <t>www.petespintpot.co.uk/kitmod.html#simple</t>
  </si>
  <si>
    <t xml:space="preserve">0.68 BEER ENG, 0.8 HERE. </t>
  </si>
  <si>
    <t>Viewed through 25mm glass/cuvette.</t>
  </si>
  <si>
    <t>Hop extract added (ml)</t>
  </si>
  <si>
    <t>This assumes</t>
  </si>
  <si>
    <t>litres gives appox.</t>
  </si>
  <si>
    <t>BU ̸ GU ratio</t>
  </si>
  <si>
    <r>
      <t xml:space="preserve">Note:- 1 ml of Ritchie's hop extract in 1 litre of beer adds 69 EBU's. </t>
    </r>
    <r>
      <rPr>
        <b/>
        <sz val="10"/>
        <color rgb="FFFF0000"/>
        <rFont val="Times New Roman"/>
        <family val="1"/>
      </rPr>
      <t>‡ DO NOT BOIL.</t>
    </r>
  </si>
  <si>
    <r>
      <t>O.G.</t>
    </r>
    <r>
      <rPr>
        <sz val="10"/>
        <color rgb="FFFF0000"/>
        <rFont val="Times New Roman"/>
        <family val="1"/>
      </rPr>
      <t xml:space="preserve"> </t>
    </r>
    <r>
      <rPr>
        <sz val="10"/>
        <color rgb="FF339966"/>
        <rFont val="Times New Roman"/>
        <family val="1"/>
      </rPr>
      <t>(exc. primer)</t>
    </r>
  </si>
  <si>
    <t>NOTE:- A gravity of say 1040 can also be denoted as 40 brewers degrees, or in the old, obsolete format 1.040, &amp;, unfortunately, this is still used to-day in the USA &amp; many Brit's still use this format. The FG is very hard to predict, errors of a one or two degrees is not uncommon &amp; is dependant on the yeast efficiency.</t>
  </si>
  <si>
    <r>
      <t>F.G.</t>
    </r>
    <r>
      <rPr>
        <sz val="10"/>
        <color rgb="FF339966"/>
        <rFont val="Times New Roman"/>
        <family val="1"/>
      </rPr>
      <t xml:space="preserve"> (exc. primer)</t>
    </r>
  </si>
  <si>
    <r>
      <t>% ABV</t>
    </r>
    <r>
      <rPr>
        <sz val="10"/>
        <color rgb="FFFF0000"/>
        <rFont val="Times New Roman"/>
        <family val="1"/>
      </rPr>
      <t xml:space="preserve"> </t>
    </r>
    <r>
      <rPr>
        <sz val="10"/>
        <color rgb="FF00B050"/>
        <rFont val="Times New Roman"/>
        <family val="1"/>
      </rPr>
      <t>(exc. primer)</t>
    </r>
  </si>
  <si>
    <r>
      <t>Typical sucrose priming rates @ 20</t>
    </r>
    <r>
      <rPr>
        <b/>
        <u/>
        <sz val="11"/>
        <color indexed="8"/>
        <rFont val="Times New Roman"/>
        <family val="1"/>
      </rPr>
      <t>°</t>
    </r>
    <r>
      <rPr>
        <b/>
        <u/>
        <sz val="10.5"/>
        <color indexed="8"/>
        <rFont val="Times New Roman"/>
        <family val="1"/>
      </rPr>
      <t>C</t>
    </r>
    <r>
      <rPr>
        <b/>
        <sz val="10.5"/>
        <color indexed="8"/>
        <rFont val="Times New Roman"/>
        <family val="1"/>
      </rPr>
      <t xml:space="preserve"> </t>
    </r>
  </si>
  <si>
    <t>3.15g ̸ litre (1 level 5ml tsp) sugar for British ales</t>
  </si>
  <si>
    <r>
      <t xml:space="preserve">Brewing ̸ resting temperature </t>
    </r>
    <r>
      <rPr>
        <sz val="11"/>
        <color indexed="8"/>
        <rFont val="Times New Roman"/>
        <family val="1"/>
      </rPr>
      <t>°</t>
    </r>
    <r>
      <rPr>
        <sz val="10"/>
        <color indexed="8"/>
        <rFont val="Times New Roman"/>
        <family val="1"/>
      </rPr>
      <t>C</t>
    </r>
  </si>
  <si>
    <r>
      <t>0-30</t>
    </r>
    <r>
      <rPr>
        <sz val="12"/>
        <color indexed="8"/>
        <rFont val="Times New Roman"/>
        <family val="1"/>
      </rPr>
      <t>°</t>
    </r>
    <r>
      <rPr>
        <sz val="10"/>
        <color indexed="8"/>
        <rFont val="Times New Roman"/>
        <family val="1"/>
      </rPr>
      <t>C.</t>
    </r>
  </si>
  <si>
    <t>no prim</t>
  </si>
  <si>
    <r>
      <rPr>
        <b/>
        <sz val="10"/>
        <color indexed="8"/>
        <rFont val="Times New Roman"/>
        <family val="1"/>
      </rPr>
      <t>"Effective" O.G.</t>
    </r>
    <r>
      <rPr>
        <sz val="10"/>
        <color indexed="8"/>
        <rFont val="Times New Roman"/>
        <family val="1"/>
      </rPr>
      <t xml:space="preserve"> </t>
    </r>
    <r>
      <rPr>
        <sz val="10"/>
        <color rgb="FFFF0000"/>
        <rFont val="Times New Roman"/>
        <family val="1"/>
      </rPr>
      <t>(inc. primer)</t>
    </r>
  </si>
  <si>
    <r>
      <rPr>
        <b/>
        <sz val="10"/>
        <color indexed="8"/>
        <rFont val="Times New Roman"/>
        <family val="1"/>
      </rPr>
      <t>"Effective" F.G.</t>
    </r>
    <r>
      <rPr>
        <sz val="10"/>
        <color indexed="8"/>
        <rFont val="Times New Roman"/>
        <family val="1"/>
      </rPr>
      <t xml:space="preserve"> </t>
    </r>
    <r>
      <rPr>
        <sz val="10"/>
        <color rgb="FFFF0000"/>
        <rFont val="Times New Roman"/>
        <family val="1"/>
      </rPr>
      <t>(inc. primer)</t>
    </r>
  </si>
  <si>
    <r>
      <rPr>
        <b/>
        <sz val="10"/>
        <color indexed="8"/>
        <rFont val="Times New Roman"/>
        <family val="1"/>
      </rPr>
      <t>% ABV</t>
    </r>
    <r>
      <rPr>
        <sz val="10"/>
        <color rgb="FFFF0000"/>
        <rFont val="Times New Roman"/>
        <family val="1"/>
      </rPr>
      <t xml:space="preserve"> (inc. primer)</t>
    </r>
  </si>
  <si>
    <t>Priming sugar has very little effect on the FG's.</t>
  </si>
  <si>
    <r>
      <rPr>
        <b/>
        <sz val="10"/>
        <color indexed="8"/>
        <rFont val="Times New Roman"/>
        <family val="1"/>
      </rPr>
      <t>Carbonation,</t>
    </r>
    <r>
      <rPr>
        <sz val="10"/>
        <color indexed="8"/>
        <rFont val="Times New Roman"/>
        <family val="1"/>
      </rPr>
      <t xml:space="preserve"> volumes CO</t>
    </r>
    <r>
      <rPr>
        <sz val="8"/>
        <color indexed="8"/>
        <rFont val="Times New Roman"/>
        <family val="1"/>
      </rPr>
      <t>2</t>
    </r>
    <r>
      <rPr>
        <sz val="10"/>
        <color indexed="8"/>
        <rFont val="Times New Roman"/>
        <family val="1"/>
      </rPr>
      <t xml:space="preserve"> </t>
    </r>
    <r>
      <rPr>
        <sz val="10"/>
        <color rgb="FFFF0000"/>
        <rFont val="Times New Roman"/>
        <family val="1"/>
      </rPr>
      <t>(inc. primer)</t>
    </r>
  </si>
  <si>
    <t>Measured O.G.</t>
  </si>
  <si>
    <t xml:space="preserve"> (exc. primer)</t>
  </si>
  <si>
    <t>(colour)</t>
  </si>
  <si>
    <t>Measured F.G. (unprimed)</t>
  </si>
  <si>
    <t>For more information see:-</t>
  </si>
  <si>
    <t xml:space="preserve">www.petespintpot.co.uk/health.html </t>
  </si>
  <si>
    <r>
      <t>Carbonation, volumes CO</t>
    </r>
    <r>
      <rPr>
        <sz val="8"/>
        <color indexed="8"/>
        <rFont val="Times New Roman"/>
        <family val="1"/>
      </rPr>
      <t>2</t>
    </r>
  </si>
  <si>
    <t xml:space="preserve">&amp; ̸ OR </t>
  </si>
  <si>
    <t xml:space="preserve">www.petespintpot.co.uk/diabetic.html </t>
  </si>
  <si>
    <t>Approx. alcohol after priming %</t>
  </si>
  <si>
    <t>Beer Style</t>
  </si>
  <si>
    <r>
      <t>Volumes CO</t>
    </r>
    <r>
      <rPr>
        <b/>
        <sz val="8"/>
        <color indexed="8"/>
        <rFont val="Times New Roman"/>
        <family val="1"/>
      </rPr>
      <t>2</t>
    </r>
  </si>
  <si>
    <t>American Ales</t>
  </si>
  <si>
    <t>Belgian Ales</t>
  </si>
  <si>
    <t>British Ales</t>
  </si>
  <si>
    <t>Lambic ̸ Gueuze</t>
  </si>
  <si>
    <t>For more information see the "Primer" page.</t>
  </si>
  <si>
    <t>Porters &amp; Stouts</t>
  </si>
  <si>
    <t>Weizens &amp; Wheats</t>
  </si>
  <si>
    <t>Priming sugar (sucrose) wt.</t>
  </si>
  <si>
    <t>1 tsp sugar =</t>
  </si>
  <si>
    <t>Bottle size</t>
  </si>
  <si>
    <t>2 litres</t>
  </si>
  <si>
    <t>1 litre</t>
  </si>
  <si>
    <t>0.5 litres</t>
  </si>
  <si>
    <t>0.25 litres</t>
  </si>
  <si>
    <t xml:space="preserve">litres </t>
  </si>
  <si>
    <t>Sugar weight ̸ tsp</t>
  </si>
  <si>
    <t>Where "tsp" refers to "level 5ml teaspoon".</t>
  </si>
  <si>
    <t>or</t>
  </si>
  <si>
    <t>2000 ml</t>
  </si>
  <si>
    <t>1000 ml</t>
  </si>
  <si>
    <t>500 ml</t>
  </si>
  <si>
    <t>Dosage</t>
  </si>
  <si>
    <t>"Sugar" wt. ̸ tsp.</t>
  </si>
  <si>
    <t>Batch priming sugar (sucrose) wt.</t>
  </si>
  <si>
    <t>Sugar Solutions (Syrups)</t>
  </si>
  <si>
    <r>
      <rPr>
        <sz val="10"/>
        <rFont val="Times New Roman"/>
        <family val="1"/>
      </rPr>
      <t>For a fixed gravity of</t>
    </r>
    <r>
      <rPr>
        <sz val="10"/>
        <color indexed="8"/>
        <rFont val="Times New Roman"/>
        <family val="1"/>
      </rPr>
      <t xml:space="preserve"> </t>
    </r>
    <r>
      <rPr>
        <b/>
        <sz val="10"/>
        <color rgb="FFFF0000"/>
        <rFont val="Times New Roman"/>
        <family val="1"/>
      </rPr>
      <t>1300</t>
    </r>
  </si>
  <si>
    <t>Wt. Sugar</t>
  </si>
  <si>
    <t>Vol. water</t>
  </si>
  <si>
    <t>Final Vol.</t>
  </si>
  <si>
    <t>S. G.</t>
  </si>
  <si>
    <t>Notes:-</t>
  </si>
  <si>
    <t>Copyright Peter J. Laycock 28~10~'8</t>
  </si>
  <si>
    <r>
      <rPr>
        <b/>
        <sz val="10"/>
        <color rgb="FFFF0000"/>
        <rFont val="Times New Roman"/>
        <family val="1"/>
      </rPr>
      <t>Disclaimer:</t>
    </r>
    <r>
      <rPr>
        <sz val="10"/>
        <color indexed="8"/>
        <rFont val="Times New Roman"/>
        <family val="1"/>
      </rPr>
      <t xml:space="preserve"> E&amp;OE. No responsibility is assumed or implied as a result of using this spreadsheet.</t>
    </r>
  </si>
  <si>
    <t>Check for the latest version on</t>
  </si>
  <si>
    <t>Default zoom setting = 100%</t>
  </si>
  <si>
    <t>Metric units are my preferred system as they are universal &amp; do not suffer from the stupidities of the U.K. Imperial ̸ U.S. systems.</t>
  </si>
  <si>
    <t>This is writen using the Microsoft Excel program, I find the "Office" by Ashampoo (inc. the free program) are my pick of the other "Office" suites.</t>
  </si>
  <si>
    <t xml:space="preserve">Main Contents </t>
  </si>
  <si>
    <t>General Calc's.</t>
  </si>
  <si>
    <t>General Converters - volume, weights, temperature etc.</t>
  </si>
  <si>
    <t>Malt &amp; Sugar Conversion Calculators</t>
  </si>
  <si>
    <t>Hydrometer Temperature Correction</t>
  </si>
  <si>
    <t>SG to % ABV Calculator</t>
  </si>
  <si>
    <t>ABV Estimators</t>
  </si>
  <si>
    <t>OG Correction For Beers &amp; Wines.</t>
  </si>
  <si>
    <t>°Brix, Plato, Balling &amp; Baumé</t>
  </si>
  <si>
    <t>UK ̸ US Proof &amp; % Converters</t>
  </si>
  <si>
    <t>Hops</t>
  </si>
  <si>
    <t>Drying</t>
  </si>
  <si>
    <t>Alpha Acid ̸ Weight Conversions</t>
  </si>
  <si>
    <t>Hop Calc's (for all beers)</t>
  </si>
  <si>
    <t>Beer Colour</t>
  </si>
  <si>
    <t>Malt Colour</t>
  </si>
  <si>
    <t>Making Beer &amp; Wine In Stages</t>
  </si>
  <si>
    <t>Reduced Alcohol Beers &amp; Wines</t>
  </si>
  <si>
    <t>Priming</t>
  </si>
  <si>
    <t>BMI  -  Waist to Height Ratio Calculators</t>
  </si>
  <si>
    <t>Beer, Wine &amp; Spirit Freezing Point</t>
  </si>
  <si>
    <t>Some Typical Beer Drinking Temperatures (°C).</t>
  </si>
  <si>
    <t>Beer Kit Calculators</t>
  </si>
  <si>
    <t>Priming Sugar.</t>
  </si>
  <si>
    <t>Malt Extract Calculator</t>
  </si>
  <si>
    <t>A "stand-alone" calculator (3 methods - 1a, 1b &amp; 2).</t>
  </si>
  <si>
    <t>Summary For The Finished Beer</t>
  </si>
  <si>
    <t>Calorie ̸ Carbohydrate ̸ Unit Data.</t>
  </si>
  <si>
    <t>Technical Section</t>
  </si>
  <si>
    <t>Change the default settings etc.</t>
  </si>
  <si>
    <t>Beer Calculator</t>
  </si>
  <si>
    <t>This must be used in conjunction with the "Beer Data Sheet".</t>
  </si>
  <si>
    <t>Beer Data Sheet</t>
  </si>
  <si>
    <t>The "Beer Calculations" &amp; "Beer Scaling Calculations" can be tailored to suit your requirements on this page.</t>
  </si>
  <si>
    <t>Some Beer Yeast Information</t>
  </si>
  <si>
    <t>Beer Scaling Calculators Etc.</t>
  </si>
  <si>
    <t>Extract ̸ Volume Converter</t>
  </si>
  <si>
    <t>Volume/Weight Converters</t>
  </si>
  <si>
    <t>Priming Calc's. For Beers Etc.</t>
  </si>
  <si>
    <t>More typical beer styles carbonation levels.</t>
  </si>
  <si>
    <t>Metric, Imperial &amp; US units are given.</t>
  </si>
  <si>
    <t>Also suitable for priming sparkling wines &amp; ciders.</t>
  </si>
  <si>
    <t>Water Treatment Calculator</t>
  </si>
  <si>
    <t>Water Treatment For Beers.</t>
  </si>
  <si>
    <t>TCP Taste ̸ Aroma</t>
  </si>
  <si>
    <t>Gluten-Free Beer Calculator</t>
  </si>
  <si>
    <t>BJCP Guide</t>
  </si>
  <si>
    <t>A Few Beer Styles.</t>
  </si>
  <si>
    <t>Disclaimer:-</t>
  </si>
  <si>
    <t>E&amp;OE. No responsibility is assumed or implied as a result of using this spreadsheet.</t>
  </si>
  <si>
    <t>Additional advice given by David at</t>
  </si>
  <si>
    <t>david.barrow@live.co.uk</t>
  </si>
  <si>
    <t>General Converters</t>
  </si>
  <si>
    <r>
      <t>6 US gallons =</t>
    </r>
    <r>
      <rPr>
        <sz val="10"/>
        <rFont val="Times New Roman"/>
        <family val="1"/>
      </rPr>
      <t xml:space="preserve"> 5 UK = 22.7 litres</t>
    </r>
  </si>
  <si>
    <t>1 UK pint = 20 fl oz</t>
  </si>
  <si>
    <t>5 US gallons = 18.9 litres</t>
  </si>
  <si>
    <t>1 UK ̸ Euro. Litre = 1 US liter</t>
  </si>
  <si>
    <t>Weight Converters</t>
  </si>
  <si>
    <r>
      <t>Wt.</t>
    </r>
    <r>
      <rPr>
        <sz val="8"/>
        <color indexed="8"/>
        <rFont val="Times New Roman"/>
        <family val="1"/>
      </rPr>
      <t xml:space="preserve"> </t>
    </r>
    <r>
      <rPr>
        <sz val="10"/>
        <color indexed="8"/>
        <rFont val="Times New Roman"/>
        <family val="1"/>
      </rPr>
      <t>g  OR  Wt.</t>
    </r>
    <r>
      <rPr>
        <sz val="8"/>
        <color indexed="8"/>
        <rFont val="Times New Roman"/>
        <family val="1"/>
      </rPr>
      <t xml:space="preserve"> </t>
    </r>
    <r>
      <rPr>
        <sz val="10"/>
        <color indexed="8"/>
        <rFont val="Times New Roman"/>
        <family val="1"/>
      </rPr>
      <t>Kg</t>
    </r>
  </si>
  <si>
    <t>1Kg = 0.4536 lb</t>
  </si>
  <si>
    <t>1lb = 16oz</t>
  </si>
  <si>
    <t>Kg</t>
  </si>
  <si>
    <t xml:space="preserve"> oz      OR       lb.    OR    lb.  oz</t>
  </si>
  <si>
    <t>lb oz</t>
  </si>
  <si>
    <t>Wt. ̸ Vol. Converters</t>
  </si>
  <si>
    <t>Kg ̸ l</t>
  </si>
  <si>
    <t>Wt. ̸ Vol</t>
  </si>
  <si>
    <t>g ̸ l</t>
  </si>
  <si>
    <t>Fluid</t>
  </si>
  <si>
    <r>
      <rPr>
        <sz val="11"/>
        <color indexed="8"/>
        <rFont val="Times New Roman"/>
        <family val="1"/>
      </rPr>
      <t>°</t>
    </r>
    <r>
      <rPr>
        <sz val="10"/>
        <color indexed="8"/>
        <rFont val="Times New Roman"/>
        <family val="1"/>
      </rPr>
      <t>C</t>
    </r>
  </si>
  <si>
    <r>
      <rPr>
        <sz val="11"/>
        <color indexed="8"/>
        <rFont val="Times New Roman"/>
        <family val="1"/>
      </rPr>
      <t>°</t>
    </r>
    <r>
      <rPr>
        <sz val="10"/>
        <color indexed="8"/>
        <rFont val="Times New Roman"/>
        <family val="1"/>
      </rPr>
      <t>F</t>
    </r>
  </si>
  <si>
    <t>General Weight &amp; Volume Converters</t>
  </si>
  <si>
    <t>Vol. 1</t>
  </si>
  <si>
    <t xml:space="preserve">Wt. 1 </t>
  </si>
  <si>
    <t>Vol. 2</t>
  </si>
  <si>
    <t>Wt. 2</t>
  </si>
  <si>
    <r>
      <t>Malt &amp; Sugar Conversion Calculators</t>
    </r>
    <r>
      <rPr>
        <sz val="11.5"/>
        <color indexed="8"/>
        <rFont val="Times New Roman"/>
        <family val="1"/>
      </rPr>
      <t/>
    </r>
  </si>
  <si>
    <t>% extract efficiency (nominally 75% is assumed) †</t>
  </si>
  <si>
    <t>Converts "OLD" malt liquid ext. to "NEW"</t>
  </si>
  <si>
    <t>Figures used in calculations which may be amended.</t>
  </si>
  <si>
    <t>"OLD"</t>
  </si>
  <si>
    <t>"NEW"</t>
  </si>
  <si>
    <r>
      <rPr>
        <sz val="11"/>
        <color indexed="8"/>
        <rFont val="Times New Roman"/>
        <family val="1"/>
      </rPr>
      <t>°</t>
    </r>
    <r>
      <rPr>
        <sz val="10"/>
        <color indexed="8"/>
        <rFont val="Times New Roman"/>
        <family val="1"/>
      </rPr>
      <t xml:space="preserve"> ̸ Kg ̸ l</t>
    </r>
  </si>
  <si>
    <r>
      <rPr>
        <sz val="11"/>
        <color rgb="FF008000"/>
        <rFont val="Times New Roman"/>
        <family val="1"/>
      </rPr>
      <t>°</t>
    </r>
    <r>
      <rPr>
        <sz val="10"/>
        <color rgb="FF008000"/>
        <rFont val="Times New Roman"/>
        <family val="1"/>
      </rPr>
      <t xml:space="preserve"> ̸ Kg ̸ l</t>
    </r>
  </si>
  <si>
    <t>Ext. wt</t>
  </si>
  <si>
    <r>
      <rPr>
        <sz val="11"/>
        <color rgb="FFFF0000"/>
        <rFont val="Times New Roman"/>
        <family val="1"/>
      </rPr>
      <t>°</t>
    </r>
    <r>
      <rPr>
        <sz val="10"/>
        <color rgb="FFFF0000"/>
        <rFont val="Times New Roman"/>
        <family val="1"/>
      </rPr>
      <t xml:space="preserve"> ̸ Kg ̸ l</t>
    </r>
  </si>
  <si>
    <t>Pale Malt</t>
  </si>
  <si>
    <t>See Beer Data Sheet</t>
  </si>
  <si>
    <t>LIQUID Malt Extract ("OLD")</t>
  </si>
  <si>
    <r>
      <t xml:space="preserve">(Useful for </t>
    </r>
    <r>
      <rPr>
        <b/>
        <i/>
        <sz val="9"/>
        <color indexed="8"/>
        <rFont val="Times New Roman"/>
        <family val="1"/>
      </rPr>
      <t>very</t>
    </r>
    <r>
      <rPr>
        <sz val="9"/>
        <color indexed="8"/>
        <rFont val="Times New Roman"/>
        <family val="1"/>
      </rPr>
      <t xml:space="preserve"> old recipes &amp; books etc.)</t>
    </r>
  </si>
  <si>
    <t>INVERT Sugar</t>
  </si>
  <si>
    <t>LIQUID Malt Extract ("NEW")</t>
  </si>
  <si>
    <t>CANE Sugar</t>
  </si>
  <si>
    <t>LIQUID Malt Extract ("OLD" )</t>
  </si>
  <si>
    <t>Alternatively</t>
  </si>
  <si>
    <t>Ext. wt. g</t>
  </si>
  <si>
    <t>Converts liquid ̸ dry malt extract weights</t>
  </si>
  <si>
    <t>Hydrometer Temp. Correction</t>
  </si>
  <si>
    <t>OR</t>
  </si>
  <si>
    <t>using the simpler "brewers degrees"</t>
  </si>
  <si>
    <r>
      <rPr>
        <b/>
        <sz val="11"/>
        <rFont val="Times New Roman"/>
        <family val="1"/>
      </rPr>
      <t>°</t>
    </r>
    <r>
      <rPr>
        <b/>
        <sz val="10"/>
        <rFont val="Times New Roman"/>
        <family val="1"/>
      </rPr>
      <t xml:space="preserve">C </t>
    </r>
  </si>
  <si>
    <r>
      <rPr>
        <sz val="12"/>
        <color rgb="FF7F7F7F"/>
        <rFont val="Times New Roman"/>
        <family val="1"/>
      </rPr>
      <t>°</t>
    </r>
    <r>
      <rPr>
        <sz val="10"/>
        <color rgb="FF7F7F7F"/>
        <rFont val="Times New Roman"/>
        <family val="1"/>
      </rPr>
      <t xml:space="preserve">F </t>
    </r>
  </si>
  <si>
    <t>Mainly used for beers.</t>
  </si>
  <si>
    <t>Malt wt. g</t>
  </si>
  <si>
    <t>PALE malt to liquid ̸ dry extract weights</t>
  </si>
  <si>
    <t>Calibration Temp.</t>
  </si>
  <si>
    <t>Liquid Temp.</t>
  </si>
  <si>
    <t>Measured Gravity</t>
  </si>
  <si>
    <t>Invert</t>
  </si>
  <si>
    <t>Wt</t>
  </si>
  <si>
    <t>Cane</t>
  </si>
  <si>
    <t>Converts sugar equivalent weights</t>
  </si>
  <si>
    <t>Corrected Gravity</t>
  </si>
  <si>
    <t>(All calc's are approx.)</t>
  </si>
  <si>
    <t>See Temperature Converter</t>
  </si>
  <si>
    <t>SG to % ABV Calculators</t>
  </si>
  <si>
    <t>Simple ABV Estimator</t>
  </si>
  <si>
    <t xml:space="preserve">Original Gravity </t>
  </si>
  <si>
    <t>Original Gravity</t>
  </si>
  <si>
    <r>
      <t xml:space="preserve">Calibration temperatures &amp; wort/must temperatures are taken into account for </t>
    </r>
    <r>
      <rPr>
        <b/>
        <sz val="10"/>
        <color rgb="FFFF0000"/>
        <rFont val="Times New Roman"/>
        <family val="1"/>
      </rPr>
      <t>all</t>
    </r>
    <r>
      <rPr>
        <sz val="10"/>
        <color rgb="FFFF0000"/>
        <rFont val="Times New Roman"/>
        <family val="1"/>
      </rPr>
      <t xml:space="preserve"> SG readings.</t>
    </r>
  </si>
  <si>
    <t>Final Gravity</t>
  </si>
  <si>
    <t>% ABV (approx)</t>
  </si>
  <si>
    <r>
      <rPr>
        <b/>
        <sz val="10"/>
        <color indexed="8"/>
        <rFont val="Times New Roman"/>
        <family val="1"/>
      </rPr>
      <t>OG</t>
    </r>
    <r>
      <rPr>
        <sz val="10"/>
        <color indexed="8"/>
        <rFont val="Times New Roman"/>
        <family val="1"/>
      </rPr>
      <t xml:space="preserve"> Measured</t>
    </r>
  </si>
  <si>
    <r>
      <rPr>
        <b/>
        <sz val="10"/>
        <color indexed="8"/>
        <rFont val="Times New Roman"/>
        <family val="1"/>
      </rPr>
      <t>OG</t>
    </r>
    <r>
      <rPr>
        <sz val="10"/>
        <color indexed="8"/>
        <rFont val="Times New Roman"/>
        <family val="1"/>
      </rPr>
      <t xml:space="preserve"> Corrected</t>
    </r>
  </si>
  <si>
    <t xml:space="preserve">Calibration Temp. </t>
  </si>
  <si>
    <r>
      <rPr>
        <b/>
        <sz val="10"/>
        <color indexed="8"/>
        <rFont val="Times New Roman"/>
        <family val="1"/>
      </rPr>
      <t>FG</t>
    </r>
    <r>
      <rPr>
        <sz val="10"/>
        <color indexed="8"/>
        <rFont val="Times New Roman"/>
        <family val="1"/>
      </rPr>
      <t xml:space="preserve"> Measured</t>
    </r>
  </si>
  <si>
    <r>
      <rPr>
        <b/>
        <sz val="10"/>
        <color indexed="8"/>
        <rFont val="Times New Roman"/>
        <family val="1"/>
      </rPr>
      <t>FG</t>
    </r>
    <r>
      <rPr>
        <sz val="10"/>
        <color indexed="8"/>
        <rFont val="Times New Roman"/>
        <family val="1"/>
      </rPr>
      <t xml:space="preserve"> Corrected</t>
    </r>
  </si>
  <si>
    <t>ABV (approx.)</t>
  </si>
  <si>
    <t>OG Correction For Beers &amp; Wines etc.</t>
  </si>
  <si>
    <t>Present OG</t>
  </si>
  <si>
    <t>OG required</t>
  </si>
  <si>
    <t>Present Vol. (litres)</t>
  </si>
  <si>
    <t>Topping Up Vol. (litres)</t>
  </si>
  <si>
    <t>Final Vol. (litres)</t>
  </si>
  <si>
    <t>Brewers degrees used</t>
  </si>
  <si>
    <t>All gravities are assumed to be at room temp. or compensated for.</t>
  </si>
  <si>
    <t>SG ̸ Vol. Converter</t>
  </si>
  <si>
    <t xml:space="preserve">For an SG of </t>
  </si>
  <si>
    <t>&amp; an initial volume of</t>
  </si>
  <si>
    <t>SG</t>
  </si>
  <si>
    <r>
      <rPr>
        <sz val="11"/>
        <color indexed="8"/>
        <rFont val="Times New Roman"/>
        <family val="1"/>
      </rPr>
      <t>°</t>
    </r>
    <r>
      <rPr>
        <sz val="10"/>
        <color indexed="8"/>
        <rFont val="Times New Roman"/>
        <family val="1"/>
      </rPr>
      <t>Brix ̸ Plato ̸ Balling</t>
    </r>
  </si>
  <si>
    <r>
      <rPr>
        <sz val="11"/>
        <rFont val="Times New Roman"/>
        <family val="1"/>
      </rPr>
      <t>°</t>
    </r>
    <r>
      <rPr>
        <sz val="10"/>
        <rFont val="Times New Roman"/>
        <family val="1"/>
      </rPr>
      <t>Baumé</t>
    </r>
  </si>
  <si>
    <t>Refractometer Calibration</t>
  </si>
  <si>
    <r>
      <t>(</t>
    </r>
    <r>
      <rPr>
        <sz val="11"/>
        <color indexed="8"/>
        <rFont val="Times New Roman"/>
        <family val="1"/>
      </rPr>
      <t>°</t>
    </r>
    <r>
      <rPr>
        <sz val="10"/>
        <color indexed="8"/>
        <rFont val="Times New Roman"/>
        <family val="1"/>
      </rPr>
      <t>Bx, P, B &amp; Bé)</t>
    </r>
  </si>
  <si>
    <t xml:space="preserve">Brix, Plato &amp; Balling are scales of sweetness based on sucrose solutions they give very similar results, to within a few decimal places &amp; therefore can be assumed to be the same for our purposes. The minimum amount of "sugar" that can be added is zero, hence the minimum value of the three scales is also zero. </t>
  </si>
  <si>
    <r>
      <t xml:space="preserve"> Generally, 1</t>
    </r>
    <r>
      <rPr>
        <sz val="12"/>
        <color indexed="8"/>
        <rFont val="Times New Roman"/>
        <family val="1"/>
      </rPr>
      <t>°</t>
    </r>
    <r>
      <rPr>
        <sz val="10"/>
        <color indexed="8"/>
        <rFont val="Times New Roman"/>
        <family val="1"/>
      </rPr>
      <t>P is considered as 1004 (or just 4 brewers degrees) SG.</t>
    </r>
  </si>
  <si>
    <r>
      <t xml:space="preserve">UK </t>
    </r>
    <r>
      <rPr>
        <b/>
        <u/>
        <sz val="11.5"/>
        <rFont val="Times New Roman"/>
        <family val="1"/>
      </rPr>
      <t>Proof &amp; % Converters</t>
    </r>
  </si>
  <si>
    <r>
      <t>UK</t>
    </r>
    <r>
      <rPr>
        <b/>
        <sz val="11"/>
        <color rgb="FFFF0000"/>
        <rFont val="Times New Roman"/>
        <family val="1"/>
      </rPr>
      <t>°</t>
    </r>
  </si>
  <si>
    <t>% ABW</t>
  </si>
  <si>
    <r>
      <t>&amp;</t>
    </r>
    <r>
      <rPr>
        <b/>
        <sz val="11"/>
        <color indexed="8"/>
        <rFont val="Times New Roman"/>
        <family val="1"/>
      </rPr>
      <t xml:space="preserve"> </t>
    </r>
    <r>
      <rPr>
        <b/>
        <u/>
        <sz val="11"/>
        <color rgb="FFFF33CC"/>
        <rFont val="Times New Roman"/>
        <family val="1"/>
      </rPr>
      <t>US</t>
    </r>
  </si>
  <si>
    <r>
      <t>US</t>
    </r>
    <r>
      <rPr>
        <b/>
        <sz val="11"/>
        <color rgb="FFFF00FF"/>
        <rFont val="Times New Roman"/>
        <family val="1"/>
      </rPr>
      <t>°</t>
    </r>
  </si>
  <si>
    <r>
      <t>UK</t>
    </r>
    <r>
      <rPr>
        <b/>
        <sz val="11"/>
        <color theme="1"/>
        <rFont val="Times New Roman"/>
        <family val="1"/>
      </rPr>
      <t xml:space="preserve"> ̸ </t>
    </r>
    <r>
      <rPr>
        <b/>
        <sz val="11"/>
        <color rgb="FFFF00FF"/>
        <rFont val="Times New Roman"/>
        <family val="1"/>
      </rPr>
      <t>US</t>
    </r>
    <r>
      <rPr>
        <b/>
        <sz val="11"/>
        <color indexed="10"/>
        <rFont val="Times New Roman"/>
        <family val="1"/>
      </rPr>
      <t xml:space="preserve"> </t>
    </r>
    <r>
      <rPr>
        <b/>
        <sz val="11"/>
        <color theme="1"/>
        <rFont val="Times New Roman"/>
        <family val="1"/>
      </rPr>
      <t>Proof Converters</t>
    </r>
  </si>
  <si>
    <r>
      <t>Proof</t>
    </r>
    <r>
      <rPr>
        <sz val="11"/>
        <color indexed="8"/>
        <rFont val="Times New Roman"/>
        <family val="1"/>
      </rPr>
      <t>°</t>
    </r>
  </si>
  <si>
    <t>ABV ̸ Proof converter</t>
  </si>
  <si>
    <t>ABW ̸ Proof converter</t>
  </si>
  <si>
    <t>(Note: all these calc's are approx.)</t>
  </si>
  <si>
    <t>O.G.</t>
  </si>
  <si>
    <t>F.G.</t>
  </si>
  <si>
    <t xml:space="preserve">Yeast Efficiency ̸ Attenuation % </t>
  </si>
  <si>
    <t>Before priming</t>
  </si>
  <si>
    <t>Brew Efficiency %</t>
  </si>
  <si>
    <t>Vol. (litres)</t>
  </si>
  <si>
    <t>Malt Wt. g</t>
  </si>
  <si>
    <t>Real Attenuation</t>
  </si>
  <si>
    <t>Yeast Efficiency is generally assumed to be 75%.</t>
  </si>
  <si>
    <r>
      <rPr>
        <u/>
        <sz val="10"/>
        <color rgb="FFFF0000"/>
        <rFont val="Times New Roman"/>
        <family val="1"/>
      </rPr>
      <t>NOTE:-</t>
    </r>
    <r>
      <rPr>
        <sz val="10"/>
        <rFont val="Times New Roman"/>
        <family val="1"/>
      </rPr>
      <t xml:space="preserve"> Typical yeast efficiencies can have a tolerance of ±3-5%.</t>
    </r>
  </si>
  <si>
    <t>Hop Drying</t>
  </si>
  <si>
    <t>Hop Alpha Acid ̸ Weight Conversions</t>
  </si>
  <si>
    <t>Old % alpha acid</t>
  </si>
  <si>
    <t>New % alpha acid</t>
  </si>
  <si>
    <t>Weight of  hop container ̸ bag</t>
  </si>
  <si>
    <t>g (empty)</t>
  </si>
  <si>
    <t>Old weight</t>
  </si>
  <si>
    <t>New weight</t>
  </si>
  <si>
    <t>Weight of  'wet' hops + container ̸ bag</t>
  </si>
  <si>
    <t xml:space="preserve">g, assumed moisture content of </t>
  </si>
  <si>
    <t>Moisture content of the 'dried' hops is</t>
  </si>
  <si>
    <t>Approx. Hop Calc's (for ALL beers)</t>
  </si>
  <si>
    <t>The actual 'dried' hop weigh is</t>
  </si>
  <si>
    <t>Hop Extract</t>
  </si>
  <si>
    <t>litre gives approx.</t>
  </si>
  <si>
    <t>Note:- 1 ml of Ritchie's hop extract in 1 litre of beer adds 69 EBU's.</t>
  </si>
  <si>
    <r>
      <t xml:space="preserve">For a gravity of </t>
    </r>
    <r>
      <rPr>
        <b/>
        <sz val="10"/>
        <color indexed="10"/>
        <rFont val="Times New Roman"/>
        <family val="1"/>
      </rPr>
      <t>1300</t>
    </r>
  </si>
  <si>
    <t>For fixed weigh of sugar &amp; a fixed volume of water</t>
  </si>
  <si>
    <t>Approximate Beer Colour Chart</t>
  </si>
  <si>
    <t>Wt hops</t>
  </si>
  <si>
    <t>BEER Colour Converter</t>
  </si>
  <si>
    <t>Wt dry</t>
  </si>
  <si>
    <t>SRM</t>
  </si>
  <si>
    <t>COLOUR is measured in EBC's (European Brewing Convention) by a light (430nm - a shade of indigo) passing through a 25mm cuvette (“square sectioned glass").</t>
  </si>
  <si>
    <t>Some Typical Malt Colours</t>
  </si>
  <si>
    <t>MALT Colour Converter (Approx.)</t>
  </si>
  <si>
    <t>Malt ̸ Adjunct</t>
  </si>
  <si>
    <t>Wheat</t>
  </si>
  <si>
    <t xml:space="preserve">Crystal </t>
  </si>
  <si>
    <t xml:space="preserve">Roast </t>
  </si>
  <si>
    <t>Black malt</t>
  </si>
  <si>
    <t>(for colours &gt;1.0)</t>
  </si>
  <si>
    <t>light</t>
  </si>
  <si>
    <t>med</t>
  </si>
  <si>
    <t>dark</t>
  </si>
  <si>
    <t>barley</t>
  </si>
  <si>
    <t xml:space="preserve"> malt</t>
  </si>
  <si>
    <t>Colour EBC (typical)</t>
  </si>
  <si>
    <t>Colour Lovibond (typical)</t>
  </si>
  <si>
    <t>For information about beer styles ̸ colour ̸ hopping rates etc. see "BJCP Beer Styles".</t>
  </si>
  <si>
    <t>For use when sugars etc. are added at different stages or times.</t>
  </si>
  <si>
    <t>Initial gravity (stage 1)</t>
  </si>
  <si>
    <t>Effective O. G. =</t>
  </si>
  <si>
    <t>When using this calculator, it is vital to take gravity readings before &amp; after the sugars, syrups &amp; malt extracts etc. have been mixed in.</t>
  </si>
  <si>
    <t>Measured gravity (stage 2)</t>
  </si>
  <si>
    <t>Amended gravity</t>
  </si>
  <si>
    <t>End gravity =</t>
  </si>
  <si>
    <t>Measured gravity (stage 3)</t>
  </si>
  <si>
    <t>Alcohol (exc. primer) =</t>
  </si>
  <si>
    <t>Final measured gravity</t>
  </si>
  <si>
    <t>Hydrometer readings errors of ± 1 can typically lead to errors of about 0.3% ABV.</t>
  </si>
  <si>
    <t>There is no reason why these calculators cannot be used for wines etc.</t>
  </si>
  <si>
    <t>Beer Name</t>
  </si>
  <si>
    <t>Vol. 3</t>
  </si>
  <si>
    <r>
      <rPr>
        <sz val="10"/>
        <color theme="0" tint="-4.9989318521683403E-2"/>
        <rFont val="Calibri"/>
        <family val="2"/>
      </rPr>
      <t>≈</t>
    </r>
    <r>
      <rPr>
        <sz val="10"/>
        <color theme="0" tint="-4.9989318521683403E-2"/>
        <rFont val="Times New Roman"/>
        <family val="1"/>
      </rPr>
      <t>($F$36:£F£39)+SUM($F150:$F$ 511), )&amp; ̸ "&amp;F(K56*P105*R105/ (M105*D5),1)&amp;" sex"&amp;W11SE/A6*B2</t>
    </r>
  </si>
  <si>
    <t>SUMMARY</t>
  </si>
  <si>
    <t xml:space="preserve">Woodforde's Wherry </t>
  </si>
  <si>
    <t>Pre-heat</t>
  </si>
  <si>
    <t>Post-heat</t>
  </si>
  <si>
    <t>Original Vol. (after racking)</t>
  </si>
  <si>
    <t>vol. used inc. any top-up water</t>
  </si>
  <si>
    <t>"New" brew Vol.</t>
  </si>
  <si>
    <t>litres (Vol. 1 + Vol. 3)</t>
  </si>
  <si>
    <t>"New" brew S. G.</t>
  </si>
  <si>
    <t>approx.</t>
  </si>
  <si>
    <t>calc.</t>
  </si>
  <si>
    <t>Priming sugar added</t>
  </si>
  <si>
    <t>% ABV (approx.)</t>
  </si>
  <si>
    <t>% assumed (0 nominally)</t>
  </si>
  <si>
    <t>"New" brew % ABV</t>
  </si>
  <si>
    <r>
      <t>Split the racked beer into two parts, "Vol. 1" &amp; "Vol. 2". Heat "Vol. 2" for 25-30 mins at a temperature of between 80-85</t>
    </r>
    <r>
      <rPr>
        <sz val="11"/>
        <color indexed="8"/>
        <rFont val="Times New Roman"/>
        <family val="1"/>
      </rPr>
      <t>°</t>
    </r>
    <r>
      <rPr>
        <sz val="10"/>
        <color indexed="8"/>
        <rFont val="Times New Roman"/>
        <family val="1"/>
      </rPr>
      <t>C (ethyl alcohol boils at about 78</t>
    </r>
    <r>
      <rPr>
        <sz val="11"/>
        <color indexed="8"/>
        <rFont val="Times New Roman"/>
        <family val="1"/>
      </rPr>
      <t>°</t>
    </r>
    <r>
      <rPr>
        <sz val="10"/>
        <color indexed="8"/>
        <rFont val="Times New Roman"/>
        <family val="1"/>
      </rPr>
      <t>C). After heating this reduced vol. becomes "Vol. 3" which may be topped-up as required. When cool, mix the beers, prime &amp; bottle. Note:- Reducing any sugar would be the much better option.</t>
    </r>
  </si>
  <si>
    <r>
      <t>Typical sucrose priming rates @ 20</t>
    </r>
    <r>
      <rPr>
        <b/>
        <sz val="11"/>
        <color indexed="8"/>
        <rFont val="Times New Roman"/>
        <family val="1"/>
      </rPr>
      <t>°</t>
    </r>
    <r>
      <rPr>
        <b/>
        <sz val="10"/>
        <color indexed="8"/>
        <rFont val="Times New Roman"/>
        <family val="1"/>
      </rPr>
      <t>C</t>
    </r>
  </si>
  <si>
    <t>Where 1 level 5ml tsp sugar (sucrose) =</t>
  </si>
  <si>
    <t>g  (3.15 nom.)</t>
  </si>
  <si>
    <r>
      <t xml:space="preserve">Safe Drinking in the </t>
    </r>
    <r>
      <rPr>
        <b/>
        <u/>
        <sz val="11.5"/>
        <color rgb="FFFF0000"/>
        <rFont val="Times New Roman"/>
        <family val="1"/>
      </rPr>
      <t>UK</t>
    </r>
  </si>
  <si>
    <t xml:space="preserve"> UK units, 1 unit = 10ml alcohol. Note:- 1 unit in these Calc's =</t>
  </si>
  <si>
    <t>ml alcohol</t>
  </si>
  <si>
    <t>Country</t>
  </si>
  <si>
    <t>1 unit alcohol =</t>
  </si>
  <si>
    <t>Bottle ̸ glass size</t>
  </si>
  <si>
    <t>No. of bottles ̸ glasses</t>
  </si>
  <si>
    <t xml:space="preserve">ml     OR     g  </t>
  </si>
  <si>
    <t xml:space="preserve"> ml</t>
  </si>
  <si>
    <t>Australia</t>
  </si>
  <si>
    <t>Austria</t>
  </si>
  <si>
    <t>Canada</t>
  </si>
  <si>
    <t>The UK Government recommended units of alcohol per week is 14 for both &amp; for men. This equates to 2 units per day.</t>
  </si>
  <si>
    <t>Denmark</t>
  </si>
  <si>
    <t>Note:- All Governments can ruin your health &amp; wealth!</t>
  </si>
  <si>
    <t>Finland</t>
  </si>
  <si>
    <t>France</t>
  </si>
  <si>
    <t>Hungary</t>
  </si>
  <si>
    <r>
      <t>BMI Calculator</t>
    </r>
    <r>
      <rPr>
        <b/>
        <sz val="11.5"/>
        <color indexed="8"/>
        <rFont val="Times New Roman"/>
        <family val="1"/>
      </rPr>
      <t xml:space="preserve">                                                                                                                  </t>
    </r>
    <r>
      <rPr>
        <b/>
        <u/>
        <sz val="11.5"/>
        <color indexed="8"/>
        <rFont val="Times New Roman"/>
        <family val="1"/>
      </rPr>
      <t>Waist to Height Ratio Calculator</t>
    </r>
  </si>
  <si>
    <t>Iceland</t>
  </si>
  <si>
    <t>METRIC</t>
  </si>
  <si>
    <t>IMPERIAL</t>
  </si>
  <si>
    <t xml:space="preserve">Alternatively, your waist to height ratio should not generally exceed about 50%. </t>
  </si>
  <si>
    <t>Ireland (Eire)</t>
  </si>
  <si>
    <t>Height</t>
  </si>
  <si>
    <t>cm</t>
  </si>
  <si>
    <t>ft.</t>
  </si>
  <si>
    <t>in</t>
  </si>
  <si>
    <t>Italy</t>
  </si>
  <si>
    <t>Waist measurement</t>
  </si>
  <si>
    <t>Japan</t>
  </si>
  <si>
    <t>Weight</t>
  </si>
  <si>
    <t>st</t>
  </si>
  <si>
    <t>Netherlands</t>
  </si>
  <si>
    <t>Ratio (Women)</t>
  </si>
  <si>
    <t>New Zealand</t>
  </si>
  <si>
    <t xml:space="preserve">BMI (Body Mass Index)  = </t>
  </si>
  <si>
    <t>Ratio (Men)</t>
  </si>
  <si>
    <t>Poland</t>
  </si>
  <si>
    <t xml:space="preserve">Less than 20 </t>
  </si>
  <si>
    <t>Underweight</t>
  </si>
  <si>
    <t>Waist to Height Ratio</t>
  </si>
  <si>
    <t>Portugal</t>
  </si>
  <si>
    <t>Between 20-25</t>
  </si>
  <si>
    <t>Normal</t>
  </si>
  <si>
    <t>Spain</t>
  </si>
  <si>
    <t>Between 25-30</t>
  </si>
  <si>
    <t>Overweight</t>
  </si>
  <si>
    <t>&lt;35</t>
  </si>
  <si>
    <t>Abnormally thin</t>
  </si>
  <si>
    <t>Over 30</t>
  </si>
  <si>
    <t>Obese</t>
  </si>
  <si>
    <t>35-42</t>
  </si>
  <si>
    <t>Extremely thin</t>
  </si>
  <si>
    <t>35-43</t>
  </si>
  <si>
    <t>USA</t>
  </si>
  <si>
    <r>
      <t>WARNING!</t>
    </r>
    <r>
      <rPr>
        <sz val="11"/>
        <color indexed="8"/>
        <rFont val="Times New Roman"/>
        <family val="1"/>
      </rPr>
      <t xml:space="preserve">  </t>
    </r>
    <r>
      <rPr>
        <sz val="10"/>
        <color indexed="8"/>
        <rFont val="Times New Roman"/>
        <family val="1"/>
      </rPr>
      <t>Do not use this if you are of a sensitive nature.</t>
    </r>
  </si>
  <si>
    <t>42-45</t>
  </si>
  <si>
    <t>Slender &amp; healthy</t>
  </si>
  <si>
    <t>43-46</t>
  </si>
  <si>
    <t>Other 2</t>
  </si>
  <si>
    <t>45-49</t>
  </si>
  <si>
    <t>Healthy</t>
  </si>
  <si>
    <t>46-53</t>
  </si>
  <si>
    <t>NOTE:-</t>
  </si>
  <si>
    <t>49-54</t>
  </si>
  <si>
    <t>53-58</t>
  </si>
  <si>
    <r>
      <t>SG of ethyl alcohol at 20</t>
    </r>
    <r>
      <rPr>
        <sz val="11"/>
        <color indexed="8"/>
        <rFont val="Times New Roman"/>
        <family val="1"/>
      </rPr>
      <t>°</t>
    </r>
    <r>
      <rPr>
        <sz val="10"/>
        <color indexed="8"/>
        <rFont val="Times New Roman"/>
        <family val="1"/>
      </rPr>
      <t>C =</t>
    </r>
  </si>
  <si>
    <t xml:space="preserve">    (789.4  Nom.)</t>
  </si>
  <si>
    <t>The "BMI" &amp; the "Waist to Height Ratio" calculators are not to the same scale &amp; therefore not comparable.</t>
  </si>
  <si>
    <t>54-58</t>
  </si>
  <si>
    <t>Seriously overweight</t>
  </si>
  <si>
    <t>58-63</t>
  </si>
  <si>
    <r>
      <t>Kg ̸ m</t>
    </r>
    <r>
      <rPr>
        <sz val="12"/>
        <color indexed="8"/>
        <rFont val="Times New Roman"/>
        <family val="1"/>
      </rPr>
      <t xml:space="preserve">³ </t>
    </r>
  </si>
  <si>
    <t>&gt;58</t>
  </si>
  <si>
    <t>Morbidly obese</t>
  </si>
  <si>
    <t>&gt;63</t>
  </si>
  <si>
    <t>Length ̸ Height Conversion</t>
  </si>
  <si>
    <t>inches only</t>
  </si>
  <si>
    <t>ft.  in</t>
  </si>
  <si>
    <t>in.</t>
  </si>
  <si>
    <t>in. only</t>
  </si>
  <si>
    <t>Approx. Freezing Point</t>
  </si>
  <si>
    <r>
      <t xml:space="preserve">NOTE:- Very </t>
    </r>
    <r>
      <rPr>
        <u/>
        <sz val="10"/>
        <color indexed="10"/>
        <rFont val="Times New Roman"/>
        <family val="1"/>
      </rPr>
      <t>inaccurate</t>
    </r>
    <r>
      <rPr>
        <sz val="10"/>
        <color indexed="10"/>
        <rFont val="Times New Roman"/>
        <family val="1"/>
      </rPr>
      <t xml:space="preserve"> for ABV's. &gt; 80%.</t>
    </r>
  </si>
  <si>
    <t>Some Typical Beer Drinking Temperatures.</t>
  </si>
  <si>
    <r>
      <rPr>
        <b/>
        <sz val="11.5"/>
        <color indexed="8"/>
        <rFont val="Times New Roman"/>
        <family val="1"/>
      </rPr>
      <t xml:space="preserve"> </t>
    </r>
    <r>
      <rPr>
        <b/>
        <u/>
        <sz val="11.5"/>
        <color indexed="8"/>
        <rFont val="Times New Roman"/>
        <family val="1"/>
      </rPr>
      <t>Notes:-</t>
    </r>
  </si>
  <si>
    <t>Abbey ̸ Trappist &lt;8.5% ABV</t>
  </si>
  <si>
    <t>10-14</t>
  </si>
  <si>
    <t>Abbey ̸ Trappist &gt;8.5% ABV</t>
  </si>
  <si>
    <t>15-18</t>
  </si>
  <si>
    <t>in  = cm</t>
  </si>
  <si>
    <t>Altbier</t>
  </si>
  <si>
    <t xml:space="preserve">lb = Kg </t>
  </si>
  <si>
    <t>Baltic Stout ̸ Porter</t>
  </si>
  <si>
    <t>13-18</t>
  </si>
  <si>
    <t>Barley Wine</t>
  </si>
  <si>
    <t>10-13</t>
  </si>
  <si>
    <t>Belgian Ale</t>
  </si>
  <si>
    <t>7-12</t>
  </si>
  <si>
    <t>Belgian Strong Ale</t>
  </si>
  <si>
    <t>Biere de Garde</t>
  </si>
  <si>
    <t>Bitter, ESB, IPA, Old ale, Pale Ale, Strong Ale</t>
  </si>
  <si>
    <t>Bock, Double Bock</t>
  </si>
  <si>
    <t>Brown ̸ Mild Ale</t>
  </si>
  <si>
    <t>Dark lager ̸ Dunkle ̸ Schwarzbier</t>
  </si>
  <si>
    <t>9-11</t>
  </si>
  <si>
    <t>Dortmunder</t>
  </si>
  <si>
    <t>Flemish Red ̸ Brown</t>
  </si>
  <si>
    <t>9-13</t>
  </si>
  <si>
    <t>Framboise (Raspberry)</t>
  </si>
  <si>
    <t>9-12</t>
  </si>
  <si>
    <t>Irish Red Ale</t>
  </si>
  <si>
    <t>9-10</t>
  </si>
  <si>
    <t>Kőlsch</t>
  </si>
  <si>
    <t>Kriek (Cherry)</t>
  </si>
  <si>
    <t>Lager inc. Munich &amp; Vienna, Helles</t>
  </si>
  <si>
    <t>Lambic Fruit</t>
  </si>
  <si>
    <t>8-9</t>
  </si>
  <si>
    <t>Marzen ̸ Oktoberfest ̸ Maibock</t>
  </si>
  <si>
    <t>Old brown Lager (Bruin)</t>
  </si>
  <si>
    <t>Pilsner, Golden Lager</t>
  </si>
  <si>
    <t>Porter inc. Alaskan</t>
  </si>
  <si>
    <t>Saison</t>
  </si>
  <si>
    <t>Scottish Ale inc. Strong &amp; Wee Heavy</t>
  </si>
  <si>
    <t>Stout, Dry, Sweet, Milk, Oatmeal, Oyster, Irish</t>
  </si>
  <si>
    <t>Tripel</t>
  </si>
  <si>
    <t>10+</t>
  </si>
  <si>
    <t>Weiss ̸ Wit ̸ Wheat - light</t>
  </si>
  <si>
    <t>Weiss ̸ Wit ̸ Wheat - dark</t>
  </si>
  <si>
    <t>Wheat - Belgian</t>
  </si>
  <si>
    <t>Rubbish beers</t>
  </si>
  <si>
    <t>0-5</t>
  </si>
  <si>
    <t>These figures are a rough guide; they should only be regarded as “typical” as all beers may not conform, especially amongst the Abbey/Trappist beers. I have collated the information form various sources &amp; cannot vouch for their accuracy or whether a degree or three deviation makes any discernable difference.</t>
  </si>
  <si>
    <r>
      <rPr>
        <b/>
        <sz val="10"/>
        <color indexed="10"/>
        <rFont val="Times New Roman"/>
        <family val="1"/>
      </rPr>
      <t>Disclaimer</t>
    </r>
    <r>
      <rPr>
        <b/>
        <sz val="10"/>
        <color rgb="FFFF0000"/>
        <rFont val="Times New Roman"/>
        <family val="1"/>
      </rPr>
      <t>:</t>
    </r>
    <r>
      <rPr>
        <b/>
        <sz val="10"/>
        <color indexed="23"/>
        <rFont val="Times New Roman"/>
        <family val="1"/>
      </rPr>
      <t xml:space="preserve"> </t>
    </r>
    <r>
      <rPr>
        <sz val="10"/>
        <color indexed="23"/>
        <rFont val="Times New Roman"/>
        <family val="1"/>
      </rPr>
      <t>E&amp;OE. No</t>
    </r>
    <r>
      <rPr>
        <sz val="10"/>
        <color indexed="8"/>
        <rFont val="Times New Roman"/>
        <family val="1"/>
      </rPr>
      <t xml:space="preserve"> responsibility is assumed or implied as a result of using this spreadsheet.</t>
    </r>
  </si>
  <si>
    <r>
      <rPr>
        <b/>
        <u/>
        <sz val="24"/>
        <color indexed="8"/>
        <rFont val="Times New Roman"/>
        <family val="1"/>
      </rPr>
      <t>BJCP B</t>
    </r>
    <r>
      <rPr>
        <b/>
        <u/>
        <sz val="22"/>
        <color indexed="8"/>
        <rFont val="Times New Roman"/>
        <family val="1"/>
      </rPr>
      <t xml:space="preserve">eer </t>
    </r>
    <r>
      <rPr>
        <b/>
        <u/>
        <sz val="24"/>
        <color indexed="8"/>
        <rFont val="Times New Roman"/>
        <family val="1"/>
      </rPr>
      <t>S</t>
    </r>
    <r>
      <rPr>
        <b/>
        <u/>
        <sz val="22"/>
        <color indexed="8"/>
        <rFont val="Times New Roman"/>
        <family val="1"/>
      </rPr>
      <t xml:space="preserve">tyle </t>
    </r>
    <r>
      <rPr>
        <b/>
        <u/>
        <sz val="24"/>
        <color indexed="8"/>
        <rFont val="Times New Roman"/>
        <family val="1"/>
      </rPr>
      <t>G</t>
    </r>
    <r>
      <rPr>
        <b/>
        <u/>
        <sz val="22"/>
        <color indexed="8"/>
        <rFont val="Times New Roman"/>
        <family val="1"/>
      </rPr>
      <t xml:space="preserve">uidlines </t>
    </r>
    <r>
      <rPr>
        <b/>
        <u/>
        <sz val="24"/>
        <color indexed="8"/>
        <rFont val="Times New Roman"/>
        <family val="1"/>
      </rPr>
      <t>(2015)</t>
    </r>
  </si>
  <si>
    <t>This is, of course American, &amp;, of course, far too complex to be of any practical use.</t>
  </si>
  <si>
    <t>Note: 1 EBU = 1 IBU.</t>
  </si>
  <si>
    <r>
      <t xml:space="preserve">1 EBC </t>
    </r>
    <r>
      <rPr>
        <sz val="12"/>
        <color indexed="8"/>
        <rFont val="Calibri"/>
        <family val="2"/>
      </rPr>
      <t>≈</t>
    </r>
    <r>
      <rPr>
        <sz val="12"/>
        <color indexed="8"/>
        <rFont val="Times New Roman"/>
        <family val="1"/>
      </rPr>
      <t xml:space="preserve"> 2 (1.97) SRM</t>
    </r>
  </si>
  <si>
    <t>(Even in this semi-civilized world!)</t>
  </si>
  <si>
    <t>BJCP Categories</t>
  </si>
  <si>
    <t>Sub.</t>
  </si>
  <si>
    <t>Styles</t>
  </si>
  <si>
    <t>Style Family</t>
  </si>
  <si>
    <t>Style History</t>
  </si>
  <si>
    <t>Origin</t>
  </si>
  <si>
    <t>ABV min</t>
  </si>
  <si>
    <t>ABV max</t>
  </si>
  <si>
    <t>IBUs min</t>
  </si>
  <si>
    <t>IBUs max</t>
  </si>
  <si>
    <t>SRM min</t>
  </si>
  <si>
    <t>SRM max</t>
  </si>
  <si>
    <t>OG min</t>
  </si>
  <si>
    <t>OG max</t>
  </si>
  <si>
    <t>FG min</t>
  </si>
  <si>
    <t>FG max</t>
  </si>
  <si>
    <t>1. Standard American Beer</t>
  </si>
  <si>
    <t>A</t>
  </si>
  <si>
    <t>American Light Lager</t>
  </si>
  <si>
    <t>Pale Lager</t>
  </si>
  <si>
    <t>Mass Market Pale Lager</t>
  </si>
  <si>
    <t>United States</t>
  </si>
  <si>
    <t>B</t>
  </si>
  <si>
    <t>American Lager</t>
  </si>
  <si>
    <t>C</t>
  </si>
  <si>
    <t>Pale Ale</t>
  </si>
  <si>
    <t>Indigenous American Beer</t>
  </si>
  <si>
    <t>D</t>
  </si>
  <si>
    <t>American Wheat Beer</t>
  </si>
  <si>
    <t>Wheat Beer</t>
  </si>
  <si>
    <t>2. International Lager</t>
  </si>
  <si>
    <t>International Pale Lager</t>
  </si>
  <si>
    <t>International</t>
  </si>
  <si>
    <t>International Amber Lager</t>
  </si>
  <si>
    <t>Amber Lager</t>
  </si>
  <si>
    <t>International Dark Lager</t>
  </si>
  <si>
    <t>Dark Lager</t>
  </si>
  <si>
    <t>3. Czech Lager</t>
  </si>
  <si>
    <t>Czech Pale Lager</t>
  </si>
  <si>
    <t>Pilsner</t>
  </si>
  <si>
    <t>Czech Republic</t>
  </si>
  <si>
    <t>Czech Premium Pale Lager</t>
  </si>
  <si>
    <t>Czech Amber Lager</t>
  </si>
  <si>
    <t>Czech Dark Lager</t>
  </si>
  <si>
    <t>4. Pale Malty European Lager</t>
  </si>
  <si>
    <t>Munich Helles</t>
  </si>
  <si>
    <t>European Pale Lager</t>
  </si>
  <si>
    <t>Germany</t>
  </si>
  <si>
    <t>Festbier</t>
  </si>
  <si>
    <t>5. Pale Bitter European beer</t>
  </si>
  <si>
    <t>German Leichtbier</t>
  </si>
  <si>
    <t>Top-Fermented German Lagers</t>
  </si>
  <si>
    <t>German Helles Exportbier</t>
  </si>
  <si>
    <t>German Pils</t>
  </si>
  <si>
    <t>6. Amber Malty European Lager</t>
  </si>
  <si>
    <t>Märzen</t>
  </si>
  <si>
    <t>Rauchbier</t>
  </si>
  <si>
    <t>European Smoked Beer</t>
  </si>
  <si>
    <t>Dunkles Bock</t>
  </si>
  <si>
    <t>7. Amber Bitter European Beer</t>
  </si>
  <si>
    <t>Vienna Lager</t>
  </si>
  <si>
    <t>Amber Ale</t>
  </si>
  <si>
    <t>Pale Kellerbier</t>
  </si>
  <si>
    <t>Amber Kellerbier</t>
  </si>
  <si>
    <t>8. Dark European Lager</t>
  </si>
  <si>
    <t>9. Strong European Beer</t>
  </si>
  <si>
    <t>Doppelbock</t>
  </si>
  <si>
    <t>Baltic Porter</t>
  </si>
  <si>
    <t>Scandinavia</t>
  </si>
  <si>
    <t>10. German Wheat Beer</t>
  </si>
  <si>
    <t>Weissbier</t>
  </si>
  <si>
    <t>Dunkles Weissbier</t>
  </si>
  <si>
    <t>Weizenbock</t>
  </si>
  <si>
    <t>11. British Bitter</t>
  </si>
  <si>
    <t>Ordinary Bitter</t>
  </si>
  <si>
    <t>England</t>
  </si>
  <si>
    <t>Best Bitter</t>
  </si>
  <si>
    <t>Strong Bitter</t>
  </si>
  <si>
    <t>12. Pale Commonwealth Beer</t>
  </si>
  <si>
    <t>British Golden Ale</t>
  </si>
  <si>
    <t>Pale Ales</t>
  </si>
  <si>
    <t>Australian Sparkling Ale</t>
  </si>
  <si>
    <t>Australian</t>
  </si>
  <si>
    <t>English IPA</t>
  </si>
  <si>
    <t>IPA</t>
  </si>
  <si>
    <t>13. Brown British Beer</t>
  </si>
  <si>
    <t>Dark Mild</t>
  </si>
  <si>
    <t>Brown Ale</t>
  </si>
  <si>
    <t>British Brown Ale</t>
  </si>
  <si>
    <t>English Porter</t>
  </si>
  <si>
    <t>14. Scottish Ale</t>
  </si>
  <si>
    <t>Scottish Light</t>
  </si>
  <si>
    <t>Scotland</t>
  </si>
  <si>
    <t>Scottish Heavy</t>
  </si>
  <si>
    <t>Scottish Export</t>
  </si>
  <si>
    <t>15. Irish Beer</t>
  </si>
  <si>
    <t>Ireland</t>
  </si>
  <si>
    <t>Irish Stout</t>
  </si>
  <si>
    <t>Stout</t>
  </si>
  <si>
    <t>Irish Extra Stout</t>
  </si>
  <si>
    <t>16. Dark British Beer</t>
  </si>
  <si>
    <t>Sweet Stout</t>
  </si>
  <si>
    <t>English Stout</t>
  </si>
  <si>
    <t>Oatmeal Stout</t>
  </si>
  <si>
    <t>Tropical Stout</t>
  </si>
  <si>
    <t>Foreign Extra Stout</t>
  </si>
  <si>
    <t>17. Strong British Ale</t>
  </si>
  <si>
    <t>British Strong Ale</t>
  </si>
  <si>
    <t>Strong Ale</t>
  </si>
  <si>
    <t>Old Ale</t>
  </si>
  <si>
    <t>Wee Heavy</t>
  </si>
  <si>
    <t>English Barleywine</t>
  </si>
  <si>
    <t>Barleywine</t>
  </si>
  <si>
    <t>18. Pale American Ale</t>
  </si>
  <si>
    <t>Blonde Ale</t>
  </si>
  <si>
    <t>American Pale Ale</t>
  </si>
  <si>
    <t>American Pale Beer</t>
  </si>
  <si>
    <t>19. Amber and Brown American Beer</t>
  </si>
  <si>
    <t>American Amber Ale</t>
  </si>
  <si>
    <t xml:space="preserve">California Common </t>
  </si>
  <si>
    <t>American Brown Ale</t>
  </si>
  <si>
    <t>Dark American Beer</t>
  </si>
  <si>
    <t>20. American Porter and Stout</t>
  </si>
  <si>
    <t>American Porter</t>
  </si>
  <si>
    <t>American Stout</t>
  </si>
  <si>
    <t>21. IPA</t>
  </si>
  <si>
    <t>American IPA</t>
  </si>
  <si>
    <t>Specialty IPA - Belgian IPA</t>
  </si>
  <si>
    <t>American Bitter Beer</t>
  </si>
  <si>
    <t>Specialty IPA - Black IPA</t>
  </si>
  <si>
    <t>Specialty IPA - Brown IPA</t>
  </si>
  <si>
    <t>Specialty IPA - Red IPA</t>
  </si>
  <si>
    <t>Specialty IPA - Rye IPA</t>
  </si>
  <si>
    <t>Specialty IPA - White IPA</t>
  </si>
  <si>
    <t>22. Strong American Ale</t>
  </si>
  <si>
    <t>Double IPA</t>
  </si>
  <si>
    <t>American Strong Ale</t>
  </si>
  <si>
    <t>American Barleywine</t>
  </si>
  <si>
    <t>Wheatwine</t>
  </si>
  <si>
    <t>23. European Sour Ale</t>
  </si>
  <si>
    <t>Berliner Weisse</t>
  </si>
  <si>
    <t>German Sour Ale</t>
  </si>
  <si>
    <t>Flanders Red Ale</t>
  </si>
  <si>
    <t>Sour Ale</t>
  </si>
  <si>
    <t>Belgian Sour Ale</t>
  </si>
  <si>
    <t>Belgium</t>
  </si>
  <si>
    <t>Lambic</t>
  </si>
  <si>
    <t>E</t>
  </si>
  <si>
    <t xml:space="preserve">Gueuze </t>
  </si>
  <si>
    <t>F</t>
  </si>
  <si>
    <t>Fruit Lambic</t>
  </si>
  <si>
    <t>24. Belgian Ale</t>
  </si>
  <si>
    <t>Witbier</t>
  </si>
  <si>
    <t>Belgian Pale Ale</t>
  </si>
  <si>
    <t>Bière de Garde</t>
  </si>
  <si>
    <t>European Farmhouse Beer</t>
  </si>
  <si>
    <t>25. Strong Belgian Ale</t>
  </si>
  <si>
    <t>Belgian Blond Ale</t>
  </si>
  <si>
    <t>Belgian Golden Strong Ale</t>
  </si>
  <si>
    <t>26. Trappist Ale</t>
  </si>
  <si>
    <t>Trappist Single</t>
  </si>
  <si>
    <t>Belgian Tripel</t>
  </si>
  <si>
    <t>Belgian Dark Strong Ale</t>
  </si>
  <si>
    <t>27. Historical Beer</t>
  </si>
  <si>
    <t>Gose</t>
  </si>
  <si>
    <t>Kentucky Common</t>
  </si>
  <si>
    <t>Lichtenhainer</t>
  </si>
  <si>
    <t>London Brown Ale</t>
  </si>
  <si>
    <t>Piwo Grodziskie</t>
  </si>
  <si>
    <t>Pre-Prohibition Lager</t>
  </si>
  <si>
    <t>Pre-Prohibition Porter</t>
  </si>
  <si>
    <t>Roggenbier</t>
  </si>
  <si>
    <t>Sahti</t>
  </si>
  <si>
    <t>28. American Wild Ale</t>
  </si>
  <si>
    <t>Brett Beer</t>
  </si>
  <si>
    <t>Specialty Beer</t>
  </si>
  <si>
    <t>Variable by base style</t>
  </si>
  <si>
    <t>Mixed-Fermentation Sour Beer</t>
  </si>
  <si>
    <t>Wild Specialty Beer</t>
  </si>
  <si>
    <t>29. Fruit Beer</t>
  </si>
  <si>
    <t>Fruit Beer</t>
  </si>
  <si>
    <t>Vary depending on the underlying base beer, but the fruit will often be reflected in the color</t>
  </si>
  <si>
    <t>Fruit and Spice Beer</t>
  </si>
  <si>
    <t>Specialty Fruit Beer</t>
  </si>
  <si>
    <t>30. Spiced Beer</t>
  </si>
  <si>
    <t>Spice, Herb, or Vegetable Beer</t>
  </si>
  <si>
    <t>Vary depending on the underlying base beer</t>
  </si>
  <si>
    <t>Autumn Seasonal Beer</t>
  </si>
  <si>
    <t>Vary depending on the underlying base beer. ABV is generally above 5%, and most examples are somewhat amber-copper in color</t>
  </si>
  <si>
    <t>Winter Seasonal Beer</t>
  </si>
  <si>
    <t>Vary depending on the underlying base beer. ABV is generally above 6%, and most examples are somewhat dark in color</t>
  </si>
  <si>
    <t>31. Alternative Fermentables Beer</t>
  </si>
  <si>
    <t>Alternative Grain Beer</t>
  </si>
  <si>
    <t>Alternative Sugar Beer</t>
  </si>
  <si>
    <t>32. Smoked Beer</t>
  </si>
  <si>
    <t>Classic Style Smoked Beer</t>
  </si>
  <si>
    <t>Varies with the base beer style</t>
  </si>
  <si>
    <t>Specialty Smoked Beer</t>
  </si>
  <si>
    <t>33. Wood Beer</t>
  </si>
  <si>
    <t>Wood-Aged Beer</t>
  </si>
  <si>
    <t>Varies with base style, typically above-average</t>
  </si>
  <si>
    <t>Specialty Wood-Aged Beer</t>
  </si>
  <si>
    <t>34. Specialty Beer</t>
  </si>
  <si>
    <t>Clone Beer</t>
  </si>
  <si>
    <t>Vary depending on the declared beer</t>
  </si>
  <si>
    <t>Mixed-Style Beer</t>
  </si>
  <si>
    <t>Experimental Beer</t>
  </si>
  <si>
    <t>BU ̸ GU Ratio - Bitterness Unit (EBU) ̸ Gravity Unit (OG) Ratio</t>
  </si>
  <si>
    <t>APPROXIMATE BEER COLOUR CHART</t>
  </si>
  <si>
    <t>For a beer of OG</t>
  </si>
  <si>
    <t>For up-to-date information see:-</t>
  </si>
  <si>
    <t>www.bjcp.org/stylecenter.php</t>
  </si>
  <si>
    <r>
      <rPr>
        <b/>
        <sz val="11"/>
        <color indexed="10"/>
        <rFont val="Times New Roman"/>
        <family val="1"/>
      </rPr>
      <t>Disclaim</t>
    </r>
    <r>
      <rPr>
        <b/>
        <sz val="11"/>
        <color rgb="FFFF0000"/>
        <rFont val="Times New Roman"/>
        <family val="1"/>
      </rPr>
      <t>er:</t>
    </r>
    <r>
      <rPr>
        <sz val="11"/>
        <color rgb="FFFF0000"/>
        <rFont val="Times New Roman"/>
        <family val="1"/>
      </rPr>
      <t xml:space="preserve"> </t>
    </r>
    <r>
      <rPr>
        <sz val="11"/>
        <color indexed="8"/>
        <rFont val="Times New Roman"/>
        <family val="1"/>
      </rPr>
      <t>E&amp;OE. No responsibility is assumed or implied as a result of u</t>
    </r>
    <r>
      <rPr>
        <sz val="11"/>
        <rFont val="Times New Roman"/>
        <family val="1"/>
      </rPr>
      <t>sing this spreadsheet.</t>
    </r>
  </si>
  <si>
    <t xml:space="preserve"> Volume of water to be used</t>
  </si>
  <si>
    <r>
      <t xml:space="preserve">litres. </t>
    </r>
    <r>
      <rPr>
        <sz val="11"/>
        <color rgb="FFFF0000"/>
        <rFont val="Times New Roman"/>
        <family val="1"/>
      </rPr>
      <t>This must include any top-up, sparge water etc.</t>
    </r>
  </si>
  <si>
    <t>Calcium</t>
  </si>
  <si>
    <t>Magnesium</t>
  </si>
  <si>
    <t>Sodium</t>
  </si>
  <si>
    <t>Carbonate</t>
  </si>
  <si>
    <t>Sulphate</t>
  </si>
  <si>
    <t>Chloride</t>
  </si>
  <si>
    <t>Ca</t>
  </si>
  <si>
    <t>Mg</t>
  </si>
  <si>
    <t>Na</t>
  </si>
  <si>
    <t>Cl</t>
  </si>
  <si>
    <t>Place</t>
  </si>
  <si>
    <t>Main Brew(s) ̸ Notes</t>
  </si>
  <si>
    <t>Typical values (ppm)</t>
  </si>
  <si>
    <t>&lt;300</t>
  </si>
  <si>
    <t>&lt;100</t>
  </si>
  <si>
    <t>&lt;350</t>
  </si>
  <si>
    <t>Strong pale ale</t>
  </si>
  <si>
    <t>Nothing here!</t>
  </si>
  <si>
    <t>Dose (g)</t>
  </si>
  <si>
    <t>Dose (tsp)</t>
  </si>
  <si>
    <t>Export lager</t>
  </si>
  <si>
    <t>Sodium Bicarb - Baking soda</t>
  </si>
  <si>
    <t>Dry stout</t>
  </si>
  <si>
    <t>Calcium chloride</t>
  </si>
  <si>
    <t>Malty amber, brown ales</t>
  </si>
  <si>
    <t>Chalk - calcium carbonate</t>
  </si>
  <si>
    <t>Sweet stout, porter</t>
  </si>
  <si>
    <t>Epsom salts - magnesium sulphate</t>
  </si>
  <si>
    <t>Dark lager</t>
  </si>
  <si>
    <t>Gypsum - calcium sulphate</t>
  </si>
  <si>
    <t>Hoppy pale lager</t>
  </si>
  <si>
    <t>Table salt</t>
  </si>
  <si>
    <t>Oktoberfest</t>
  </si>
  <si>
    <t>Local water area</t>
  </si>
  <si>
    <t>Malty pale ale</t>
  </si>
  <si>
    <t>Added compounds</t>
  </si>
  <si>
    <t>Doncaster</t>
  </si>
  <si>
    <t>(Details from Yorkshirewater.com)</t>
  </si>
  <si>
    <t>"New water"</t>
  </si>
  <si>
    <t>Copy the above data as req'd.</t>
  </si>
  <si>
    <t>Target water area</t>
  </si>
  <si>
    <t>Difference</t>
  </si>
  <si>
    <t>All figures obtained from the internet &amp; therefore possibly (almost certainly) dubious. Water varies from area to area.</t>
  </si>
  <si>
    <t>Certain towns/areas are associated with specific brews, one idea being that the local water supply is a very important factor. Another thought is that the breweries were built near largely populated areas &amp; if the water is good enough to drink then it is good enough to brew with. My sympathies are with the latter.
Modifying water parameters is fraught with problems, it is easier to add substances than it is to remove them &amp; modifying one compound invariably alters another.
Hardness is the worst thing for the amateur brewer to reduce although the "temporary hardness" can be reduced by boiling ALL your brewing water for about 15min then allowing it to cool, boiling precipitates out the calcium and magnesium ions as calcium or magnesium carbonate. Personally I consider this to be a very wasteful solution to a (minor?) problem. Living in Yorkshire I accept that the water is hard &amp; what is more, I ain't bothered!</t>
  </si>
  <si>
    <t>The biggest problem with this page is that information 
available on the internet cannot be relied on to be accurate (apart from Yorkshirewater.com), there is quite a lot of confliction &amp; lots of sites just blindly regurgitate existing (false?) data. In other words, don't expect the results to be (very) accurate!
Adding calcium Carbonate reduces the acidity of the water (reduces the pH), this can be corrected by using lactic acid or even citric acid etc. 
Too many chlorine &amp; chloramines give a TCP smell &amp; taste to the water, the simplest option if removing this is just adding 10ml supermarket orange juice per litre of water to nullify most chloramines. This is suitable for both beers &amp; wines.</t>
  </si>
  <si>
    <t>    Ca</t>
  </si>
  <si>
    <t>  Mg</t>
  </si>
  <si>
    <t>    Na</t>
  </si>
  <si>
    <t>  HCO3</t>
  </si>
  <si>
    <t>    SO4</t>
  </si>
  <si>
    <t>    Cl</t>
  </si>
  <si>
    <t xml:space="preserve">CONISTON BLUEBIRD BITTER </t>
  </si>
  <si>
    <t>Carbonation required</t>
  </si>
  <si>
    <r>
      <t>vols CO</t>
    </r>
    <r>
      <rPr>
        <sz val="8"/>
        <rFont val="Times New Roman"/>
        <family val="1"/>
      </rPr>
      <t>2</t>
    </r>
  </si>
  <si>
    <t xml:space="preserve">Brewing/resting temperature </t>
  </si>
  <si>
    <t>Maximum volume of the barrel</t>
  </si>
  <si>
    <t>Priming sugar required</t>
  </si>
  <si>
    <t>Rice Solids</t>
  </si>
  <si>
    <t>Sorghum Syrup</t>
  </si>
  <si>
    <t>For example:-</t>
  </si>
  <si>
    <r>
      <t>The</t>
    </r>
    <r>
      <rPr>
        <sz val="11"/>
        <color rgb="FFFF0000"/>
        <rFont val="Times New Roman"/>
        <family val="1"/>
      </rPr>
      <t xml:space="preserve"> "level 5ml tsp"</t>
    </r>
    <r>
      <rPr>
        <sz val="11"/>
        <color theme="1"/>
        <rFont val="Times New Roman"/>
        <family val="1"/>
      </rPr>
      <t xml:space="preserve"> weights only apply for "table sugar"/sucrose.</t>
    </r>
  </si>
  <si>
    <t xml:space="preserve">And Andy of </t>
  </si>
  <si>
    <r>
      <rPr>
        <b/>
        <sz val="10"/>
        <color indexed="10"/>
        <rFont val="Times New Roman"/>
        <family val="1"/>
      </rPr>
      <t>Disclaime</t>
    </r>
    <r>
      <rPr>
        <b/>
        <sz val="10"/>
        <color rgb="FFFF0000"/>
        <rFont val="Times New Roman"/>
        <family val="1"/>
      </rPr>
      <t>r:</t>
    </r>
    <r>
      <rPr>
        <sz val="10"/>
        <color indexed="8"/>
        <rFont val="Times New Roman"/>
        <family val="1"/>
      </rPr>
      <t xml:space="preserve"> E&amp;OE. No responsibility is assumed or implied as a result of using this spreadsheet.</t>
    </r>
  </si>
  <si>
    <t>Kit 2</t>
  </si>
  <si>
    <t xml:space="preserve">Actual % Used </t>
  </si>
  <si>
    <r>
      <t>Temperatures of around 20</t>
    </r>
    <r>
      <rPr>
        <sz val="12"/>
        <color indexed="8"/>
        <rFont val="Times New Roman"/>
        <family val="1"/>
      </rPr>
      <t>°</t>
    </r>
    <r>
      <rPr>
        <sz val="10"/>
        <color indexed="8"/>
        <rFont val="Times New Roman"/>
        <family val="1"/>
      </rPr>
      <t>C are assumed.</t>
    </r>
  </si>
  <si>
    <t>Beer Kit Modifier &amp; Comparator</t>
  </si>
  <si>
    <r>
      <t xml:space="preserve">Hop Utilization, normally </t>
    </r>
    <r>
      <rPr>
        <b/>
        <sz val="10"/>
        <color indexed="10"/>
        <rFont val="Times New Roman"/>
        <family val="1"/>
      </rPr>
      <t>20%</t>
    </r>
    <r>
      <rPr>
        <sz val="10"/>
        <color indexed="10"/>
        <rFont val="Times New Roman"/>
        <family val="1"/>
      </rPr>
      <t xml:space="preserve"> in the UK</t>
    </r>
  </si>
  <si>
    <t>New wt. 1 (g)</t>
  </si>
  <si>
    <t>New wt. 2 (g)</t>
  </si>
  <si>
    <r>
      <rPr>
        <sz val="11"/>
        <color indexed="8"/>
        <rFont val="Times New Roman"/>
        <family val="1"/>
      </rPr>
      <t>°</t>
    </r>
    <r>
      <rPr>
        <sz val="10"/>
        <color indexed="8"/>
        <rFont val="Times New Roman"/>
        <family val="1"/>
      </rPr>
      <t xml:space="preserve"> ̸ Kg ̸ litre</t>
    </r>
  </si>
  <si>
    <t>Ideal for comparing two similar recipes.</t>
  </si>
  <si>
    <t>SUCROSE EQUIVALENTS</t>
  </si>
  <si>
    <t>PRESSURE BARREL PRIMING</t>
  </si>
  <si>
    <t>A FEW TYPICAL BEER STYLES CARBONATION LEVELS</t>
  </si>
  <si>
    <r>
      <t>On this "Primer" page there is a little calculator for converting "Volumes CO</t>
    </r>
    <r>
      <rPr>
        <sz val="8"/>
        <color indexed="8"/>
        <rFont val="Times New Roman"/>
        <family val="1"/>
      </rPr>
      <t>2</t>
    </r>
    <r>
      <rPr>
        <sz val="10"/>
        <color indexed="8"/>
        <rFont val="Times New Roman"/>
        <family val="1"/>
      </rPr>
      <t>" into PSI ̸ atmospheres ̸ bars. Note that the calculations are of very dubious accuracy but should give the pressure within 2 or 3 PSI (approx. 0.2 bar) at "normal" temperatures &amp; pressures for beers.</t>
    </r>
  </si>
  <si>
    <t>NOTE:- Metric units are my preferred system as they are universal &amp; do not suffer from the stupidities of the UK Imperial or, even worse (?), the US, in more ways than one, systems.</t>
  </si>
  <si>
    <t>Approx. carbonation ̸ ABV for beers, wines etc.</t>
  </si>
  <si>
    <t>For a finished volume of beer</t>
  </si>
  <si>
    <t>Dry Malt Extract</t>
  </si>
  <si>
    <t>Liquid Malt Extract</t>
  </si>
  <si>
    <t>1 UK Pt</t>
  </si>
  <si>
    <t>1 US Pt</t>
  </si>
  <si>
    <r>
      <t>The "</t>
    </r>
    <r>
      <rPr>
        <b/>
        <sz val="11"/>
        <color indexed="8"/>
        <rFont val="Times New Roman"/>
        <family val="1"/>
      </rPr>
      <t>Brew Temp.</t>
    </r>
    <r>
      <rPr>
        <sz val="11"/>
        <rFont val="Times New Roman"/>
        <family val="1"/>
      </rPr>
      <t xml:space="preserve">" includes the resting or bulk maturing temperature. The fermentation </t>
    </r>
    <r>
      <rPr>
        <b/>
        <sz val="11"/>
        <color indexed="8"/>
        <rFont val="Times New Roman"/>
        <family val="1"/>
      </rPr>
      <t>must</t>
    </r>
    <r>
      <rPr>
        <sz val="11"/>
        <rFont val="Times New Roman"/>
        <family val="1"/>
      </rPr>
      <t xml:space="preserve"> be complete.</t>
    </r>
  </si>
  <si>
    <r>
      <rPr>
        <sz val="12"/>
        <color theme="1"/>
        <rFont val="Times New Roman"/>
        <family val="1"/>
      </rPr>
      <t>°</t>
    </r>
    <r>
      <rPr>
        <sz val="11"/>
        <color theme="1"/>
        <rFont val="Times New Roman"/>
        <family val="1"/>
      </rPr>
      <t>C</t>
    </r>
  </si>
  <si>
    <r>
      <t>Typical sucrose priming rates @ 20</t>
    </r>
    <r>
      <rPr>
        <b/>
        <sz val="12"/>
        <color indexed="8"/>
        <rFont val="Times New Roman"/>
        <family val="1"/>
      </rPr>
      <t>°</t>
    </r>
    <r>
      <rPr>
        <b/>
        <sz val="11"/>
        <color indexed="8"/>
        <rFont val="Times New Roman"/>
        <family val="1"/>
      </rPr>
      <t>C</t>
    </r>
  </si>
  <si>
    <r>
      <rPr>
        <sz val="12"/>
        <color indexed="8"/>
        <rFont val="Times New Roman"/>
        <family val="1"/>
      </rPr>
      <t>°</t>
    </r>
    <r>
      <rPr>
        <sz val="11"/>
        <rFont val="Times New Roman"/>
        <family val="1"/>
      </rPr>
      <t xml:space="preserve">C </t>
    </r>
  </si>
  <si>
    <r>
      <t>Celsius temperatures are entered in the range of 0-30</t>
    </r>
    <r>
      <rPr>
        <sz val="12"/>
        <color indexed="8"/>
        <rFont val="Times New Roman"/>
        <family val="1"/>
      </rPr>
      <t>°</t>
    </r>
    <r>
      <rPr>
        <sz val="11"/>
        <color indexed="8"/>
        <rFont val="Times New Roman"/>
        <family val="1"/>
      </rPr>
      <t xml:space="preserve"> in 1</t>
    </r>
    <r>
      <rPr>
        <sz val="12"/>
        <color indexed="8"/>
        <rFont val="Times New Roman"/>
        <family val="1"/>
      </rPr>
      <t>°</t>
    </r>
    <r>
      <rPr>
        <sz val="11"/>
        <rFont val="Times New Roman"/>
        <family val="1"/>
      </rPr>
      <t xml:space="preserve"> steps &amp; from 32-86</t>
    </r>
    <r>
      <rPr>
        <sz val="12"/>
        <color indexed="8"/>
        <rFont val="Times New Roman"/>
        <family val="1"/>
      </rPr>
      <t>°</t>
    </r>
    <r>
      <rPr>
        <sz val="11"/>
        <rFont val="Times New Roman"/>
        <family val="1"/>
      </rPr>
      <t>F in approx. 2</t>
    </r>
    <r>
      <rPr>
        <sz val="12"/>
        <color indexed="8"/>
        <rFont val="Times New Roman"/>
        <family val="1"/>
      </rPr>
      <t>°</t>
    </r>
    <r>
      <rPr>
        <sz val="11"/>
        <rFont val="Times New Roman"/>
        <family val="1"/>
      </rPr>
      <t xml:space="preserve"> steps.</t>
    </r>
  </si>
  <si>
    <r>
      <rPr>
        <sz val="12"/>
        <color indexed="8"/>
        <rFont val="Times New Roman"/>
        <family val="1"/>
      </rPr>
      <t>°</t>
    </r>
    <r>
      <rPr>
        <sz val="11"/>
        <color indexed="8"/>
        <rFont val="Times New Roman"/>
        <family val="1"/>
      </rPr>
      <t>C</t>
    </r>
  </si>
  <si>
    <r>
      <rPr>
        <sz val="12"/>
        <color indexed="8"/>
        <rFont val="Times New Roman"/>
        <family val="1"/>
      </rPr>
      <t>°</t>
    </r>
    <r>
      <rPr>
        <sz val="11"/>
        <color indexed="8"/>
        <rFont val="Times New Roman"/>
        <family val="1"/>
      </rPr>
      <t>F</t>
    </r>
  </si>
  <si>
    <t>UK Galls</t>
  </si>
  <si>
    <t>US Galls</t>
  </si>
  <si>
    <r>
      <rPr>
        <b/>
        <sz val="11"/>
        <color indexed="8"/>
        <rFont val="Times New Roman"/>
        <family val="1"/>
      </rPr>
      <t>LITRES</t>
    </r>
    <r>
      <rPr>
        <sz val="11"/>
        <color indexed="8"/>
        <rFont val="Times New Roman"/>
        <family val="1"/>
      </rPr>
      <t xml:space="preserve">, Initial vol. </t>
    </r>
  </si>
  <si>
    <r>
      <rPr>
        <b/>
        <sz val="11"/>
        <color indexed="8"/>
        <rFont val="Times New Roman"/>
        <family val="1"/>
      </rPr>
      <t>UK</t>
    </r>
    <r>
      <rPr>
        <sz val="11"/>
        <color indexed="8"/>
        <rFont val="Times New Roman"/>
        <family val="1"/>
      </rPr>
      <t xml:space="preserve"> galls, Initial vol. </t>
    </r>
  </si>
  <si>
    <r>
      <rPr>
        <b/>
        <sz val="11"/>
        <color indexed="8"/>
        <rFont val="Times New Roman"/>
        <family val="1"/>
      </rPr>
      <t>US</t>
    </r>
    <r>
      <rPr>
        <sz val="11"/>
        <color indexed="8"/>
        <rFont val="Times New Roman"/>
        <family val="1"/>
      </rPr>
      <t xml:space="preserve"> galls, Initial vol. </t>
    </r>
  </si>
  <si>
    <t>Bottling vol. (after losses)</t>
  </si>
  <si>
    <t>Cane ̸ beet sugar used (sucrose, g)</t>
  </si>
  <si>
    <t>g (total).</t>
  </si>
  <si>
    <t>% (nominally 10)</t>
  </si>
  <si>
    <t xml:space="preserve"> 'Dried' hops + container ̸ bag weight is</t>
  </si>
  <si>
    <t>% nom 80.</t>
  </si>
  <si>
    <t>Freshly harvested hops contain about 76-84% moisture (80% nom), this needs to be reduced to 8-12% for our use.</t>
  </si>
  <si>
    <t>Apparent Attenuation,  unprimed</t>
  </si>
  <si>
    <t>Apparent Attenuation, unprimed</t>
  </si>
  <si>
    <r>
      <t>Carbonation Volumes CO</t>
    </r>
    <r>
      <rPr>
        <sz val="8"/>
        <rFont val="Times New Roman"/>
        <family val="1"/>
      </rPr>
      <t>2</t>
    </r>
    <r>
      <rPr>
        <sz val="10"/>
        <rFont val="Times New Roman"/>
        <family val="1"/>
      </rPr>
      <t xml:space="preserve"> (primed)</t>
    </r>
  </si>
  <si>
    <t>See "Priming" page.</t>
  </si>
  <si>
    <t>Hop wt. g</t>
  </si>
  <si>
    <t>Alpha acid %</t>
  </si>
  <si>
    <t>Hop utilization %</t>
  </si>
  <si>
    <t>Calibrated hydrometer reading</t>
  </si>
  <si>
    <r>
      <t>Refractometer reading (</t>
    </r>
    <r>
      <rPr>
        <sz val="11"/>
        <color indexed="8"/>
        <rFont val="Times New Roman"/>
        <family val="1"/>
      </rPr>
      <t>°</t>
    </r>
    <r>
      <rPr>
        <sz val="10"/>
        <color indexed="8"/>
        <rFont val="Times New Roman"/>
        <family val="1"/>
      </rPr>
      <t>Brix)</t>
    </r>
  </si>
  <si>
    <r>
      <t>Corrected reading (</t>
    </r>
    <r>
      <rPr>
        <sz val="11"/>
        <color indexed="8"/>
        <rFont val="Times New Roman"/>
        <family val="1"/>
      </rPr>
      <t>°</t>
    </r>
    <r>
      <rPr>
        <sz val="10"/>
        <color indexed="8"/>
        <rFont val="Times New Roman"/>
        <family val="1"/>
      </rPr>
      <t>Brix)</t>
    </r>
  </si>
  <si>
    <t>The hop calculations use the Glenn Tinseth method for loose, whole hops.      If the hops are used in a mesh bag, use about 10% more, if using hop pellets, use about 10% fewer.</t>
  </si>
  <si>
    <t>This calc. is "STAND ALONE".</t>
  </si>
  <si>
    <r>
      <t xml:space="preserve">Note:- The hop bitterness calculations may give slightly different figures to the </t>
    </r>
    <r>
      <rPr>
        <sz val="10"/>
        <color indexed="10"/>
        <rFont val="Times New Roman"/>
        <family val="1"/>
      </rPr>
      <t>Beer Calc.</t>
    </r>
    <r>
      <rPr>
        <sz val="10"/>
        <color indexed="8"/>
        <rFont val="Times New Roman"/>
        <family val="1"/>
      </rPr>
      <t xml:space="preserve"> owing to the processes used. This calc. is "</t>
    </r>
    <r>
      <rPr>
        <b/>
        <sz val="10"/>
        <color indexed="8"/>
        <rFont val="Times New Roman"/>
        <family val="1"/>
      </rPr>
      <t>STAND ALONE</t>
    </r>
    <r>
      <rPr>
        <sz val="10"/>
        <color indexed="8"/>
        <rFont val="Times New Roman"/>
        <family val="1"/>
      </rPr>
      <t>".</t>
    </r>
  </si>
  <si>
    <t>litres of racked beer.</t>
  </si>
  <si>
    <r>
      <rPr>
        <sz val="10"/>
        <color rgb="FF008080"/>
        <rFont val="Times New Roman"/>
        <family val="1"/>
      </rPr>
      <t>SYRUP</t>
    </r>
    <r>
      <rPr>
        <sz val="10"/>
        <color theme="6" tint="-0.499984740745262"/>
        <rFont val="Times New Roman"/>
        <family val="1"/>
      </rPr>
      <t xml:space="preserve"> </t>
    </r>
    <r>
      <rPr>
        <sz val="10"/>
        <color indexed="63"/>
        <rFont val="Times New Roman"/>
        <family val="1"/>
      </rPr>
      <t xml:space="preserve"≯ </t>
    </r>
    <r>
      <rPr>
        <sz val="10"/>
        <color rgb="FFFF00FF"/>
        <rFont val="Times New Roman"/>
        <family val="1"/>
      </rPr>
      <t>SUGAR</t>
    </r>
  </si>
  <si>
    <r>
      <rPr>
        <sz val="10"/>
        <color rgb="FF008080"/>
        <rFont val="Times New Roman"/>
        <family val="1"/>
      </rPr>
      <t>SYRUP</t>
    </r>
    <r>
      <rPr>
        <sz val="10"/>
        <color indexed="63"/>
        <rFont val="Times New Roman"/>
        <family val="1"/>
      </rPr>
      <t xml:space="preserve"> ̸ </t>
    </r>
    <r>
      <rPr>
        <sz val="10"/>
        <color theme="9" tint="-0.499984740745262"/>
        <rFont val="Times New Roman"/>
        <family val="1"/>
      </rPr>
      <t>SYRUP</t>
    </r>
  </si>
  <si>
    <t>Black Invert  (350EBC)</t>
  </si>
  <si>
    <t>Invert No.2  (65EBC)</t>
  </si>
  <si>
    <t>Invert No.3  (130EBC)</t>
  </si>
  <si>
    <t>Invert No.4  (600EBC)</t>
  </si>
  <si>
    <t>Invert No.1  (30EBC)</t>
  </si>
  <si>
    <t>Invert sugars - SOLID (typically)</t>
  </si>
  <si>
    <t>Invert sugars - LIQUID (typically)</t>
  </si>
  <si>
    <t>Invert sugar substitutions - SOLID</t>
  </si>
  <si>
    <t>Invert sugar substitutions - LIQUID</t>
  </si>
  <si>
    <t>Invert sugar colour</t>
  </si>
  <si>
    <t>(3.3 EBC nom.)</t>
  </si>
  <si>
    <t>Blackstrap colour</t>
  </si>
  <si>
    <t>(3250 EBC nom.)</t>
  </si>
  <si>
    <t>Golden Syrup colour</t>
  </si>
  <si>
    <t>(30 EBC nom.)</t>
  </si>
  <si>
    <r>
      <t xml:space="preserve">Proof max. </t>
    </r>
    <r>
      <rPr>
        <sz val="10"/>
        <color rgb="FFFF0000"/>
        <rFont val="Times New Roman"/>
        <family val="1"/>
      </rPr>
      <t>UK 175</t>
    </r>
    <r>
      <rPr>
        <sz val="11"/>
        <color rgb="FFFF0000"/>
        <rFont val="Times New Roman"/>
        <family val="1"/>
      </rPr>
      <t>°</t>
    </r>
    <r>
      <rPr>
        <sz val="10"/>
        <color indexed="8"/>
        <rFont val="Times New Roman"/>
        <family val="1"/>
      </rPr>
      <t xml:space="preserve"> ̸ </t>
    </r>
    <r>
      <rPr>
        <sz val="10"/>
        <color rgb="FFFF00FF"/>
        <rFont val="Times New Roman"/>
        <family val="1"/>
      </rPr>
      <t>USA 200</t>
    </r>
    <r>
      <rPr>
        <sz val="11"/>
        <color rgb="FFFF00FF"/>
        <rFont val="Times New Roman"/>
        <family val="1"/>
      </rPr>
      <t>°</t>
    </r>
    <r>
      <rPr>
        <sz val="10"/>
        <color indexed="8"/>
        <rFont val="Times New Roman"/>
        <family val="1"/>
      </rPr>
      <t>. All temperatures are assumed to be at around 20</t>
    </r>
    <r>
      <rPr>
        <sz val="11"/>
        <color indexed="8"/>
        <rFont val="Times New Roman"/>
        <family val="1"/>
      </rPr>
      <t>°</t>
    </r>
    <r>
      <rPr>
        <sz val="10"/>
        <color indexed="8"/>
        <rFont val="Times New Roman"/>
        <family val="1"/>
      </rPr>
      <t xml:space="preserve">C. </t>
    </r>
    <r>
      <rPr>
        <sz val="10"/>
        <color rgb="FFFF0000"/>
        <rFont val="Times New Roman"/>
        <family val="1"/>
      </rPr>
      <t>Just try other calc's for 100% ABV or 100% ABW!</t>
    </r>
    <r>
      <rPr>
        <sz val="10"/>
        <color indexed="8"/>
        <rFont val="Times New Roman"/>
        <family val="1"/>
      </rPr>
      <t xml:space="preserve"> (BUT, to me, 100% ABV implies 100% ABW.)</t>
    </r>
  </si>
  <si>
    <t>Priming sugar, sucrose (g ̸ litre)</t>
  </si>
  <si>
    <t>Real Attenuation, unprimed</t>
  </si>
  <si>
    <t xml:space="preserve">Other </t>
  </si>
  <si>
    <r>
      <rPr>
        <b/>
        <u/>
        <sz val="10"/>
        <color indexed="8"/>
        <rFont val="Times New Roman"/>
        <family val="1"/>
      </rPr>
      <t>Barreling</t>
    </r>
    <r>
      <rPr>
        <sz val="10"/>
        <color indexed="8"/>
        <rFont val="Times New Roman"/>
        <family val="1"/>
      </rPr>
      <t xml:space="preserve">
The usual advice for priming barrelled ales is to add about 85g of sugar (for 23 litres) to the  barrel, some lager kits could use up to 150g. See Primer page.
Once the beer is carbonated &amp; matured, keep between 5-25 or so PSI (depending on the style of the beer), using a CO</t>
    </r>
    <r>
      <rPr>
        <sz val="8"/>
        <color indexed="8"/>
        <rFont val="Times New Roman"/>
        <family val="1"/>
      </rPr>
      <t>2</t>
    </r>
    <r>
      <rPr>
        <sz val="10"/>
        <color indexed="8"/>
        <rFont val="Times New Roman"/>
        <family val="1"/>
      </rPr>
      <t xml:space="preserve"> cylinder, charging when necessary, or the regulate to maintain at constant pressure.
NOTE:- When bottling, the carbonation figures apply to GLASS bottles only as PET bottles expand slightly, thus lowering the pressure.</t>
    </r>
  </si>
  <si>
    <r>
      <rPr>
        <b/>
        <sz val="10"/>
        <rFont val="Times New Roman"/>
        <family val="1"/>
      </rPr>
      <t>EBC</t>
    </r>
    <r>
      <rPr>
        <sz val="10"/>
        <rFont val="Times New Roman"/>
        <family val="1"/>
      </rPr>
      <t xml:space="preserve">: Viewed through 25mm glass/cuvette.    </t>
    </r>
    <r>
      <rPr>
        <b/>
        <sz val="10"/>
        <rFont val="Times New Roman"/>
        <family val="1"/>
      </rPr>
      <t>SRM</t>
    </r>
    <r>
      <rPr>
        <sz val="10"/>
        <rFont val="Times New Roman"/>
        <family val="1"/>
      </rPr>
      <t>: Viewed through 0.5 inch glass/cuvette.</t>
    </r>
  </si>
  <si>
    <t xml:space="preserve">MURPHY’S (IRISH) STOUT </t>
  </si>
  <si>
    <t>Calculate/compare three beers or see results of changes to a single recipe.</t>
  </si>
  <si>
    <t xml:space="preserve">To me, Leffe has a touch of coriander &amp; so it may be worth trying about 7g of seeds for the last 10-15 min of the boil.
EKG, WGV or just plain Goldings could also be possibly used.
</t>
  </si>
  <si>
    <t>Recipe notes:-</t>
  </si>
  <si>
    <t>37-8</t>
  </si>
  <si>
    <t>Extract / Volume Converter</t>
  </si>
  <si>
    <t>For a bottle ̸ glass size of  (ml)</t>
  </si>
  <si>
    <t>Carbonation (primed)</t>
  </si>
  <si>
    <t>Safe Drinking in the UK)</t>
  </si>
  <si>
    <r>
      <t>Volume Converters</t>
    </r>
    <r>
      <rPr>
        <sz val="8"/>
        <color indexed="8"/>
        <rFont val="Times New Roman"/>
        <family val="1"/>
      </rPr>
      <t xml:space="preserve"> </t>
    </r>
    <r>
      <rPr>
        <sz val="8"/>
        <color theme="0" tint="-0.34998626667073579"/>
        <rFont val="Times New Roman"/>
        <family val="1"/>
      </rPr>
      <t>(Approx. Figures)</t>
    </r>
  </si>
  <si>
    <r>
      <rPr>
        <u/>
        <sz val="11"/>
        <color indexed="12"/>
        <rFont val="Times New Roman"/>
        <family val="1"/>
      </rPr>
      <t>†</t>
    </r>
    <r>
      <rPr>
        <u/>
        <sz val="10"/>
        <color indexed="12"/>
        <rFont val="Times New Roman"/>
        <family val="1"/>
      </rPr>
      <t xml:space="preserve"> These values are dependant on cell C6)</t>
    </r>
  </si>
  <si>
    <r>
      <t>% (Nominally 75% is assumed)</t>
    </r>
    <r>
      <rPr>
        <sz val="12"/>
        <rFont val="Times New Roman"/>
        <family val="1"/>
      </rPr>
      <t xml:space="preserve"> </t>
    </r>
    <r>
      <rPr>
        <b/>
        <sz val="12"/>
        <color theme="7" tint="-0.249977111117893"/>
        <rFont val="Times New Roman"/>
        <family val="1"/>
      </rPr>
      <t>†</t>
    </r>
    <r>
      <rPr>
        <sz val="10"/>
        <rFont val="Times New Roman"/>
        <family val="1"/>
      </rPr>
      <t>.</t>
    </r>
  </si>
  <si>
    <t>Please note:-</t>
  </si>
  <si>
    <t>1 level 5ml tsp sugar  =</t>
  </si>
  <si>
    <t xml:space="preserve">PRIMING NOTES:- </t>
  </si>
  <si>
    <t xml:space="preserve">Never use the prohibitively expensive &amp; terrible "carbonation drops".
They are mostly sugar anyway!
Sugar cubes do the same job very economically.
</t>
  </si>
  <si>
    <r>
      <t>C</t>
    </r>
    <r>
      <rPr>
        <vertAlign val="subscript"/>
        <sz val="12"/>
        <color indexed="8"/>
        <rFont val="Times New Roman"/>
        <family val="1"/>
      </rPr>
      <t>6</t>
    </r>
    <r>
      <rPr>
        <sz val="11"/>
        <rFont val="Times New Roman"/>
        <family val="1"/>
      </rPr>
      <t>H</t>
    </r>
    <r>
      <rPr>
        <vertAlign val="subscript"/>
        <sz val="12"/>
        <color indexed="8"/>
        <rFont val="Times New Roman"/>
        <family val="1"/>
      </rPr>
      <t>12</t>
    </r>
    <r>
      <rPr>
        <sz val="11"/>
        <rFont val="Times New Roman"/>
        <family val="1"/>
      </rPr>
      <t>O</t>
    </r>
    <r>
      <rPr>
        <vertAlign val="subscript"/>
        <sz val="12"/>
        <color indexed="8"/>
        <rFont val="Times New Roman"/>
        <family val="1"/>
      </rPr>
      <t>6</t>
    </r>
    <r>
      <rPr>
        <sz val="11"/>
        <rFont val="Times New Roman"/>
        <family val="1"/>
      </rPr>
      <t xml:space="preserve">     +     H</t>
    </r>
    <r>
      <rPr>
        <vertAlign val="subscript"/>
        <sz val="12"/>
        <color indexed="8"/>
        <rFont val="Times New Roman"/>
        <family val="1"/>
      </rPr>
      <t>2</t>
    </r>
    <r>
      <rPr>
        <sz val="11"/>
        <rFont val="Times New Roman"/>
        <family val="1"/>
      </rPr>
      <t>O                    2C</t>
    </r>
    <r>
      <rPr>
        <vertAlign val="subscript"/>
        <sz val="12"/>
        <color indexed="8"/>
        <rFont val="Times New Roman"/>
        <family val="1"/>
      </rPr>
      <t>2</t>
    </r>
    <r>
      <rPr>
        <sz val="11"/>
        <rFont val="Times New Roman"/>
        <family val="1"/>
      </rPr>
      <t>H</t>
    </r>
    <r>
      <rPr>
        <vertAlign val="subscript"/>
        <sz val="12"/>
        <color indexed="8"/>
        <rFont val="Times New Roman"/>
        <family val="1"/>
      </rPr>
      <t>5</t>
    </r>
    <r>
      <rPr>
        <sz val="11"/>
        <rFont val="Times New Roman"/>
        <family val="1"/>
      </rPr>
      <t>OH         +          2CO</t>
    </r>
    <r>
      <rPr>
        <vertAlign val="subscript"/>
        <sz val="12"/>
        <color indexed="8"/>
        <rFont val="Times New Roman"/>
        <family val="1"/>
      </rPr>
      <t>2</t>
    </r>
    <r>
      <rPr>
        <sz val="11"/>
        <rFont val="Times New Roman"/>
        <family val="1"/>
      </rPr>
      <t xml:space="preserve">          +          H</t>
    </r>
    <r>
      <rPr>
        <vertAlign val="subscript"/>
        <sz val="12"/>
        <color indexed="8"/>
        <rFont val="Times New Roman"/>
        <family val="1"/>
      </rPr>
      <t>2</t>
    </r>
    <r>
      <rPr>
        <sz val="11"/>
        <rFont val="Times New Roman"/>
        <family val="1"/>
      </rPr>
      <t>O</t>
    </r>
  </si>
  <si>
    <r>
      <t>C</t>
    </r>
    <r>
      <rPr>
        <vertAlign val="subscript"/>
        <sz val="12"/>
        <color indexed="8"/>
        <rFont val="Times New Roman"/>
        <family val="1"/>
      </rPr>
      <t>12</t>
    </r>
    <r>
      <rPr>
        <sz val="11"/>
        <rFont val="Times New Roman"/>
        <family val="1"/>
      </rPr>
      <t>H</t>
    </r>
    <r>
      <rPr>
        <vertAlign val="subscript"/>
        <sz val="12"/>
        <color indexed="8"/>
        <rFont val="Times New Roman"/>
        <family val="1"/>
      </rPr>
      <t>22</t>
    </r>
    <r>
      <rPr>
        <sz val="11"/>
        <rFont val="Times New Roman"/>
        <family val="1"/>
      </rPr>
      <t>O</t>
    </r>
    <r>
      <rPr>
        <vertAlign val="subscript"/>
        <sz val="12"/>
        <color indexed="8"/>
        <rFont val="Times New Roman"/>
        <family val="1"/>
      </rPr>
      <t>11</t>
    </r>
    <r>
      <rPr>
        <sz val="11"/>
        <rFont val="Times New Roman"/>
        <family val="1"/>
      </rPr>
      <t xml:space="preserve">   +    H</t>
    </r>
    <r>
      <rPr>
        <vertAlign val="subscript"/>
        <sz val="12"/>
        <color indexed="8"/>
        <rFont val="Times New Roman"/>
        <family val="1"/>
      </rPr>
      <t>2</t>
    </r>
    <r>
      <rPr>
        <sz val="11"/>
        <rFont val="Times New Roman"/>
        <family val="1"/>
      </rPr>
      <t>O                      2C</t>
    </r>
    <r>
      <rPr>
        <vertAlign val="subscript"/>
        <sz val="12"/>
        <color indexed="8"/>
        <rFont val="Times New Roman"/>
        <family val="1"/>
      </rPr>
      <t>6</t>
    </r>
    <r>
      <rPr>
        <sz val="11"/>
        <rFont val="Times New Roman"/>
        <family val="1"/>
      </rPr>
      <t>H</t>
    </r>
    <r>
      <rPr>
        <vertAlign val="subscript"/>
        <sz val="12"/>
        <color indexed="8"/>
        <rFont val="Times New Roman"/>
        <family val="1"/>
      </rPr>
      <t>12</t>
    </r>
    <r>
      <rPr>
        <sz val="11"/>
        <rFont val="Times New Roman"/>
        <family val="1"/>
      </rPr>
      <t>O</t>
    </r>
    <r>
      <rPr>
        <vertAlign val="subscript"/>
        <sz val="12"/>
        <color indexed="8"/>
        <rFont val="Times New Roman"/>
        <family val="1"/>
      </rPr>
      <t>6</t>
    </r>
    <r>
      <rPr>
        <sz val="11"/>
        <rFont val="Times New Roman"/>
        <family val="1"/>
      </rPr>
      <t xml:space="preserve">                  4C</t>
    </r>
    <r>
      <rPr>
        <vertAlign val="subscript"/>
        <sz val="12"/>
        <color indexed="8"/>
        <rFont val="Times New Roman"/>
        <family val="1"/>
      </rPr>
      <t>2</t>
    </r>
    <r>
      <rPr>
        <sz val="11"/>
        <rFont val="Times New Roman"/>
        <family val="1"/>
      </rPr>
      <t>H</t>
    </r>
    <r>
      <rPr>
        <vertAlign val="subscript"/>
        <sz val="12"/>
        <color indexed="8"/>
        <rFont val="Times New Roman"/>
        <family val="1"/>
      </rPr>
      <t>5</t>
    </r>
    <r>
      <rPr>
        <sz val="11"/>
        <rFont val="Times New Roman"/>
        <family val="1"/>
      </rPr>
      <t>OH       +       4CO</t>
    </r>
    <r>
      <rPr>
        <vertAlign val="subscript"/>
        <sz val="12"/>
        <color indexed="8"/>
        <rFont val="Times New Roman"/>
        <family val="1"/>
      </rPr>
      <t>2</t>
    </r>
  </si>
  <si>
    <t>General Batch Priming</t>
  </si>
  <si>
    <t xml:space="preserve">  Sucrose         Water             Glucose &amp; Fructose        Ethyl Alcohol      Carbon Dioxide</t>
  </si>
  <si>
    <t>Glucose           Water                Ethyl Alcohol           Carbon Dioxide           Water</t>
  </si>
  <si>
    <t xml:space="preserve">    (8.96 litre)</t>
  </si>
  <si>
    <t xml:space="preserve">   (0.0262 litre)</t>
  </si>
  <si>
    <t>BUM!</t>
  </si>
  <si>
    <t xml:space="preserve"> PSI     OR     Atm.     OR     Bar</t>
  </si>
  <si>
    <r>
      <t>Volume CO</t>
    </r>
    <r>
      <rPr>
        <b/>
        <sz val="8"/>
        <color indexed="8"/>
        <rFont val="Times New Roman"/>
        <family val="1"/>
      </rPr>
      <t>2</t>
    </r>
    <r>
      <rPr>
        <b/>
        <sz val="11"/>
        <color indexed="8"/>
        <rFont val="Times New Roman"/>
        <family val="1"/>
      </rPr>
      <t xml:space="preserve"> Converters to PSI or Atm. or Bar (approx.)</t>
    </r>
  </si>
  <si>
    <t>6.3g ̸ litre (2 level tsp) for Trappist ̸ Abbey, wheat beers &amp; lagers.</t>
  </si>
  <si>
    <r>
      <t>The typical figures I quote apply to glass bottles only as PET bottles swell under pressure. A value of "2" would indicate 2 litres CO</t>
    </r>
    <r>
      <rPr>
        <sz val="8"/>
        <color indexed="8"/>
        <rFont val="Times New Roman"/>
        <family val="1"/>
      </rPr>
      <t>2</t>
    </r>
    <r>
      <rPr>
        <sz val="11"/>
        <color indexed="8"/>
        <rFont val="Times New Roman"/>
        <family val="1"/>
      </rPr>
      <t xml:space="preserve"> dissolved in 1 litre of beer.
The amount of carbonation in conditioned homebrew is dependent on two things - the residual level of carbon dioxide after fermentation (temperature dependant) &amp; the amount of carbonation added by the priming sugar. Low carbonation favours malty beers whilst high carbonation enhances "hoppiness".
I normally added approx. 3.15g/l (1 level 5ml tsp) sugar to my British ales, 4.275g (1.5 tsp) for stouts &amp; 6.3g (2 tsp) for my Belgian style beers &amp; lagers etc. As you can see, I can now make a more informed choice to suit the brew conditions &amp; style, hopefully avoiding volcanic ales &amp; flat lager. When making highly carbonated drinks the safety factor must be considered. Over 12g sugar can be added per litre of beer, this dosage would give around 4 volumes (near enough 50psi) of CO</t>
    </r>
    <r>
      <rPr>
        <sz val="8"/>
        <color indexed="8"/>
        <rFont val="Times New Roman"/>
        <family val="1"/>
      </rPr>
      <t>2</t>
    </r>
    <r>
      <rPr>
        <sz val="11"/>
        <color indexed="8"/>
        <rFont val="Times New Roman"/>
        <family val="1"/>
      </rPr>
      <t xml:space="preserve"> after the secondary fermentation! Suitable bottles must be used to prevent "bottle-bombs".</t>
    </r>
  </si>
  <si>
    <t>Additional help supplied by James at</t>
  </si>
  <si>
    <t>jamesbsmith@hotmail.com</t>
  </si>
  <si>
    <t>Additional help supplied by David at</t>
  </si>
  <si>
    <t>Bum!</t>
  </si>
  <si>
    <t>Additional advice given by Andy at</t>
  </si>
  <si>
    <t xml:space="preserve">And David of </t>
  </si>
  <si>
    <t>Figures used in calculations which may be amended, copy the required data from columns "J"-"N" to this table.</t>
  </si>
  <si>
    <r>
      <t xml:space="preserve">NOTE:- The colours are based on typical mid-range values &amp; can vary by over </t>
    </r>
    <r>
      <rPr>
        <b/>
        <u/>
        <sz val="10"/>
        <color indexed="8"/>
        <rFont val="Microsoft YaHei UI"/>
        <family val="2"/>
      </rPr>
      <t>±</t>
    </r>
    <r>
      <rPr>
        <b/>
        <u/>
        <sz val="10"/>
        <color indexed="8"/>
        <rFont val="Times New Roman"/>
        <family val="1"/>
      </rPr>
      <t>20%.</t>
    </r>
  </si>
  <si>
    <r>
      <t xml:space="preserve">⁂  </t>
    </r>
    <r>
      <rPr>
        <sz val="10"/>
        <rFont val="Times New Roman"/>
        <family val="1"/>
      </rPr>
      <t>2nd hops added at time</t>
    </r>
  </si>
  <si>
    <r>
      <t xml:space="preserve">⁂  </t>
    </r>
    <r>
      <rPr>
        <sz val="10"/>
        <rFont val="Times New Roman"/>
        <family val="1"/>
      </rPr>
      <t>3rd hops added at time</t>
    </r>
  </si>
  <si>
    <r>
      <t xml:space="preserve">⁂  </t>
    </r>
    <r>
      <rPr>
        <sz val="10"/>
        <rFont val="Times New Roman"/>
        <family val="1"/>
      </rPr>
      <t>4th hops added at time</t>
    </r>
  </si>
  <si>
    <r>
      <t xml:space="preserve">⁂  </t>
    </r>
    <r>
      <rPr>
        <sz val="10"/>
        <rFont val="Times New Roman"/>
        <family val="1"/>
      </rPr>
      <t>5th hops added at time</t>
    </r>
  </si>
  <si>
    <t>GENERAL  NOTES:-</t>
  </si>
  <si>
    <t xml:space="preserve">hours </t>
  </si>
  <si>
    <t xml:space="preserve"> mins</t>
  </si>
  <si>
    <t>This calc' completely ignores ANY late hops added.</t>
  </si>
  <si>
    <r>
      <t xml:space="preserve">This calc. </t>
    </r>
    <r>
      <rPr>
        <b/>
        <u/>
        <sz val="10"/>
        <color rgb="FFFF0000"/>
        <rFont val="Times New Roman"/>
        <family val="1"/>
      </rPr>
      <t>does</t>
    </r>
    <r>
      <rPr>
        <b/>
        <sz val="10"/>
        <color rgb="FFFF0000"/>
        <rFont val="Times New Roman"/>
        <family val="1"/>
      </rPr>
      <t xml:space="preserve"> take late hops into consideration.</t>
    </r>
  </si>
  <si>
    <t>Beer Targets</t>
  </si>
  <si>
    <t>(SUMY($F$36y$F$39)+SUNI($F$50x$F£51),1)&amp;"/"&amp;FAXED(N56*P105*R105-xx(M105*D5),1)&amp;" c</t>
  </si>
  <si>
    <t>36-38</t>
  </si>
  <si>
    <t>30-32</t>
  </si>
  <si>
    <t>Late hops (EBU's) are ignored in this Calc.</t>
  </si>
  <si>
    <r>
      <t xml:space="preserve">When using only malt extracts, check with the </t>
    </r>
    <r>
      <rPr>
        <b/>
        <i/>
        <u/>
        <sz val="13"/>
        <color rgb="FF3366FF"/>
        <rFont val="Times New Roman"/>
        <family val="1"/>
      </rPr>
      <t>"EXTRACT CALC's"</t>
    </r>
    <r>
      <rPr>
        <b/>
        <sz val="10"/>
        <color indexed="10"/>
        <rFont val="Times New Roman"/>
        <family val="1"/>
      </rPr>
      <t xml:space="preserve"> as these are more accurate &amp; give the option of adding coloured malts to the hop boil.    This calc. </t>
    </r>
    <r>
      <rPr>
        <b/>
        <u/>
        <sz val="10"/>
        <color indexed="10"/>
        <rFont val="Times New Roman"/>
        <family val="1"/>
      </rPr>
      <t>DOES</t>
    </r>
    <r>
      <rPr>
        <b/>
        <sz val="10"/>
        <color indexed="10"/>
        <rFont val="Times New Roman"/>
        <family val="1"/>
      </rPr>
      <t xml:space="preserve"> take late hops into consideration.</t>
    </r>
  </si>
  <si>
    <t>Any "named" beers are refered to me as "styles" rather to "clones".</t>
  </si>
  <si>
    <t>Target hop.</t>
  </si>
  <si>
    <t>5.5 - 6.5</t>
  </si>
  <si>
    <t>WATNEY’S RED BARREL</t>
  </si>
  <si>
    <t>ɸ These values are dependant on the value of cell L8</t>
  </si>
  <si>
    <t>% See cell L8</t>
  </si>
  <si>
    <t>Brewing sugar</t>
  </si>
  <si>
    <r>
      <rPr>
        <b/>
        <u/>
        <sz val="10"/>
        <color rgb="FFFF0000"/>
        <rFont val="Times New Roman"/>
        <family val="1"/>
      </rPr>
      <t>Please note:-</t>
    </r>
    <r>
      <rPr>
        <sz val="10"/>
        <color indexed="8"/>
        <rFont val="Times New Roman"/>
        <family val="1"/>
      </rPr>
      <t xml:space="preserve"> Priming with brewing sugar has no advantages &amp;, "carbonation drops", which are mostly  sugar, are an expensive con. If  you like the convenience, use normal sugar cubes instead!</t>
    </r>
  </si>
  <si>
    <t>Brewing sug.</t>
  </si>
  <si>
    <t>Brewing sugar g/</t>
  </si>
  <si>
    <t>Brewing g ̸ l</t>
  </si>
  <si>
    <t>Brewing sugar (g)</t>
  </si>
  <si>
    <t>Brewing/Invert sugar</t>
  </si>
  <si>
    <r>
      <rPr>
        <b/>
        <sz val="11"/>
        <color theme="1"/>
        <rFont val="Times New Roman"/>
        <family val="1"/>
      </rPr>
      <t>OR</t>
    </r>
    <r>
      <rPr>
        <sz val="11"/>
        <color theme="1"/>
        <rFont val="Times New Roman"/>
        <family val="1"/>
      </rPr>
      <t xml:space="preserve"> brewing sugar required</t>
    </r>
  </si>
  <si>
    <t>litres of beer.</t>
  </si>
  <si>
    <r>
      <rPr>
        <b/>
        <sz val="10"/>
        <color indexed="10"/>
        <rFont val="Times New Roman"/>
        <family val="1"/>
      </rPr>
      <t>Disclaimer</t>
    </r>
    <r>
      <rPr>
        <b/>
        <sz val="10"/>
        <color rgb="FFFF0000"/>
        <rFont val="Times New Roman"/>
        <family val="1"/>
      </rPr>
      <t>:</t>
    </r>
    <r>
      <rPr>
        <sz val="10"/>
        <color rgb="FFFF0000"/>
        <rFont val="Times New Roman"/>
        <family val="1"/>
      </rPr>
      <t xml:space="preserve"> </t>
    </r>
    <r>
      <rPr>
        <sz val="10"/>
        <color theme="1"/>
        <rFont val="Times New Roman"/>
        <family val="1"/>
      </rPr>
      <t>E&amp;OE. No responsibility is assumed or implied as a result of using this spreadsheet.</t>
    </r>
  </si>
  <si>
    <t>See cell J90 etc. for the Isomerised hop extract settings.</t>
  </si>
  <si>
    <t>Golden Syrup (Treacle)</t>
  </si>
  <si>
    <t>Before fermentation, sucrose is hydrolysed into glucose &amp; fructose which have the same chemical formulae but differing atomic structures. (That is why replacing sugar (sucrose) with glucose &amp; fructose results in faster fermentations, hence it's use top commercial brewers.)</t>
  </si>
  <si>
    <r>
      <t>Volume CO</t>
    </r>
    <r>
      <rPr>
        <u/>
        <sz val="6"/>
        <color indexed="12"/>
        <rFont val="Times New Roman"/>
        <family val="1"/>
      </rPr>
      <t>2</t>
    </r>
    <r>
      <rPr>
        <u/>
        <sz val="9"/>
        <color indexed="12"/>
        <rFont val="Times New Roman"/>
        <family val="1"/>
      </rPr>
      <t xml:space="preserve"> Converters to PSI or Atm. or Bar (Approx.)</t>
    </r>
  </si>
  <si>
    <r>
      <t>This little section</t>
    </r>
    <r>
      <rPr>
        <u/>
        <sz val="10"/>
        <color theme="0" tint="-0.499984740745262"/>
        <rFont val="Times New Roman"/>
        <family val="1"/>
      </rPr>
      <t xml:space="preserve"> </t>
    </r>
    <r>
      <rPr>
        <sz val="10"/>
        <color theme="0" tint="-0.499984740745262"/>
        <rFont val="Times New Roman"/>
        <family val="1"/>
      </rPr>
      <t>(using grey text) has been included for diabetes suffers &amp; health conscious persons etc.</t>
    </r>
  </si>
  <si>
    <r>
      <rPr>
        <b/>
        <sz val="9"/>
        <rFont val="Times New Roman"/>
        <family val="1"/>
      </rPr>
      <t>Calories &amp; Carbs</t>
    </r>
    <r>
      <rPr>
        <b/>
        <sz val="10"/>
        <rFont val="Times New Roman"/>
        <family val="1"/>
      </rPr>
      <t>.</t>
    </r>
  </si>
  <si>
    <t>Molasses (Blackstrap)</t>
  </si>
  <si>
    <t>Brewing Sugar (Invert)</t>
  </si>
  <si>
    <t>Dave Lines recipe is for 4% ABV, other quotes for this beer 4.8% &amp; some even higher.</t>
  </si>
  <si>
    <t>Belgian Wit</t>
  </si>
  <si>
    <r>
      <rPr>
        <b/>
        <sz val="18"/>
        <color indexed="8"/>
        <rFont val="Times New Roman"/>
        <family val="1"/>
      </rPr>
      <t xml:space="preserve"> </t>
    </r>
    <r>
      <rPr>
        <b/>
        <u/>
        <sz val="18"/>
        <color indexed="8"/>
        <rFont val="Times New Roman"/>
        <family val="1"/>
      </rPr>
      <t>Bitterness v Gravity</t>
    </r>
  </si>
  <si>
    <t>No dependancies.</t>
  </si>
  <si>
    <r>
      <t>Made using "</t>
    </r>
    <r>
      <rPr>
        <sz val="10"/>
        <color rgb="FFFF66CC"/>
        <rFont val="Times New Roman"/>
        <family val="1"/>
      </rPr>
      <t>METHOD 2</t>
    </r>
    <r>
      <rPr>
        <sz val="10"/>
        <color indexed="8"/>
        <rFont val="Times New Roman"/>
        <family val="1"/>
      </rPr>
      <t xml:space="preserve">". 
</t>
    </r>
  </si>
  <si>
    <t>Bitterness EBU - for all 3 methods</t>
  </si>
  <si>
    <r>
      <t>HCO</t>
    </r>
    <r>
      <rPr>
        <b/>
        <sz val="8"/>
        <rFont val="Times New Roman"/>
        <family val="1"/>
      </rPr>
      <t>3</t>
    </r>
  </si>
  <si>
    <r>
      <t>SO</t>
    </r>
    <r>
      <rPr>
        <b/>
        <sz val="8"/>
        <rFont val="Times New Roman"/>
        <family val="1"/>
      </rPr>
      <t>4</t>
    </r>
  </si>
  <si>
    <r>
      <t>Burton-on-Trent</t>
    </r>
    <r>
      <rPr>
        <sz val="11"/>
        <rFont val="Times New Roman"/>
        <family val="1"/>
      </rPr>
      <t xml:space="preserve"> </t>
    </r>
  </si>
  <si>
    <r>
      <t>Dortmund</t>
    </r>
    <r>
      <rPr>
        <sz val="11"/>
        <rFont val="Times New Roman"/>
        <family val="1"/>
      </rPr>
      <t xml:space="preserve"> </t>
    </r>
  </si>
  <si>
    <r>
      <t>Dublin</t>
    </r>
    <r>
      <rPr>
        <sz val="11"/>
        <rFont val="Times New Roman"/>
        <family val="1"/>
      </rPr>
      <t xml:space="preserve"> </t>
    </r>
  </si>
  <si>
    <r>
      <t>Edinburgh</t>
    </r>
    <r>
      <rPr>
        <sz val="11"/>
        <rFont val="Times New Roman"/>
        <family val="1"/>
      </rPr>
      <t xml:space="preserve"> </t>
    </r>
  </si>
  <si>
    <r>
      <t>London</t>
    </r>
    <r>
      <rPr>
        <sz val="11"/>
        <rFont val="Times New Roman"/>
        <family val="1"/>
      </rPr>
      <t xml:space="preserve"> </t>
    </r>
  </si>
  <si>
    <r>
      <t>Munich</t>
    </r>
    <r>
      <rPr>
        <sz val="11"/>
        <rFont val="Times New Roman"/>
        <family val="1"/>
      </rPr>
      <t xml:space="preserve"> </t>
    </r>
  </si>
  <si>
    <r>
      <t>Pilsen</t>
    </r>
    <r>
      <rPr>
        <sz val="11"/>
        <rFont val="Times New Roman"/>
        <family val="1"/>
      </rPr>
      <t xml:space="preserve"> </t>
    </r>
  </si>
  <si>
    <r>
      <t>Yorkshire</t>
    </r>
    <r>
      <rPr>
        <sz val="11"/>
        <rFont val="Times New Roman"/>
        <family val="1"/>
      </rPr>
      <t xml:space="preserve"> </t>
    </r>
  </si>
  <si>
    <t xml:space="preserve">Typical figures used (ppm). </t>
  </si>
  <si>
    <t xml:space="preserve">   lb              oz</t>
  </si>
  <si>
    <t xml:space="preserve">     lb              oz</t>
  </si>
  <si>
    <t xml:space="preserve">     lb               oz</t>
  </si>
  <si>
    <t>WORTHINGTON "E"</t>
  </si>
  <si>
    <t>Use this to change the hop boil settings (cells BL3 ̸ CA27).</t>
  </si>
  <si>
    <t>See cell B80.</t>
  </si>
  <si>
    <t>Sucrose/Brewing Sugar Convertions</t>
  </si>
  <si>
    <t>Sugar (Sucrose) Wt.</t>
  </si>
  <si>
    <r>
      <t xml:space="preserve">Temp. </t>
    </r>
    <r>
      <rPr>
        <b/>
        <sz val="11"/>
        <color indexed="8"/>
        <rFont val="Times New Roman"/>
        <family val="1"/>
      </rPr>
      <t>°</t>
    </r>
    <r>
      <rPr>
        <b/>
        <sz val="10"/>
        <color indexed="8"/>
        <rFont val="Times New Roman"/>
        <family val="1"/>
      </rPr>
      <t>C</t>
    </r>
  </si>
  <si>
    <t>11</t>
  </si>
  <si>
    <t xml:space="preserve">Password for THIS sheet is:-vgcv36645gbbg54666666gtg54yy6y6od90df0d0f0pdo0do0deQQdssd#opdoPOOPdododo36645gbbg54666666gtg54yy6y6od90df0d0f0pdo0do0dedopdodQQododoPOOOdod=ws=MYRBBdoldPOOododoldoldododfodfofdfffcdccffddPLLR2dold00PododARSEoldoldododfodfofdfffcdccffd
</t>
  </si>
  <si>
    <t>Total sugar (sucrose equiv. inc. primer)</t>
  </si>
  <si>
    <r>
      <t>Carbonation Volumes CO</t>
    </r>
    <r>
      <rPr>
        <sz val="8"/>
        <color rgb="FF000000"/>
        <rFont val="Times New Roman"/>
        <family val="1"/>
      </rPr>
      <t>2</t>
    </r>
    <r>
      <rPr>
        <sz val="10"/>
        <color rgb="FF000000"/>
        <rFont val="Times New Roman"/>
        <family val="1"/>
      </rPr>
      <t xml:space="preserve"> (primed)</t>
    </r>
  </si>
  <si>
    <t>Temperatures are NOT taken into considaration for these two estimators.</t>
  </si>
  <si>
    <t xml:space="preserve">    342g             18g                         360g                          184g                    176g</t>
  </si>
  <si>
    <t xml:space="preserve">     1g            0.0526g                    1.0526g                     0.5380g                0.5146g            </t>
  </si>
  <si>
    <t xml:space="preserve">  180g                18g                        92g                            88g                        18g</t>
  </si>
  <si>
    <t>litres when DILUTED.</t>
  </si>
  <si>
    <t>The "Present OG" must be equal to or higher than the "OG required".  The reverse is much harder to do!</t>
  </si>
  <si>
    <r>
      <t>Which is classed as</t>
    </r>
    <r>
      <rPr>
        <sz val="10"/>
        <color theme="0" tint="-4.9989318521683403E-2"/>
        <rFont val="Times New Roman"/>
        <family val="1"/>
      </rPr>
      <t xml:space="preserve"> pooh!</t>
    </r>
  </si>
  <si>
    <t>April Fool!</t>
  </si>
  <si>
    <t>See cell BP64</t>
  </si>
  <si>
    <t>Other 3</t>
  </si>
  <si>
    <t>Other 4</t>
  </si>
  <si>
    <t>Other 5</t>
  </si>
  <si>
    <t>Other 6</t>
  </si>
  <si>
    <r>
      <t xml:space="preserve">The up-dated American colour measuring system, SRM (Standard Reference Method), is approximately 0.508 x EBC as they use a 0.5 inch cuvette. Disregard any more complicated conversions as they may use the defunct </t>
    </r>
    <r>
      <rPr>
        <b/>
        <sz val="10"/>
        <color indexed="8"/>
        <rFont val="Times New Roman"/>
        <family val="1"/>
      </rPr>
      <t>old</t>
    </r>
    <r>
      <rPr>
        <sz val="10"/>
        <color indexed="8"/>
        <rFont val="Times New Roman"/>
        <family val="1"/>
      </rPr>
      <t xml:space="preserve"> SRM system changed in approx 1975, some sites US actually stlll use this </t>
    </r>
    <r>
      <rPr>
        <b/>
        <sz val="10"/>
        <color indexed="8"/>
        <rFont val="Times New Roman"/>
        <family val="1"/>
      </rPr>
      <t>old</t>
    </r>
    <r>
      <rPr>
        <sz val="10"/>
        <color indexed="8"/>
        <rFont val="Times New Roman"/>
        <family val="1"/>
      </rPr>
      <t xml:space="preserve"> system!</t>
    </r>
  </si>
  <si>
    <t>Any amendments/changes the "Malts &amp; Sugars" or "Hops" can be done using the "Beer Data Sheet". Simply copy the required data from columns "J"-"N" to columns "Y"-"AC".</t>
  </si>
  <si>
    <r>
      <rPr>
        <b/>
        <u/>
        <sz val="10"/>
        <color rgb="FFFF0000"/>
        <rFont val="Times New Roman"/>
        <family val="1"/>
      </rPr>
      <t>Please note:-</t>
    </r>
    <r>
      <rPr>
        <b/>
        <sz val="10"/>
        <color theme="1"/>
        <rFont val="Times New Roman"/>
        <family val="1"/>
      </rPr>
      <t xml:space="preserve"> </t>
    </r>
    <r>
      <rPr>
        <sz val="10"/>
        <color theme="1"/>
        <rFont val="Times New Roman"/>
        <family val="1"/>
      </rPr>
      <t>Priming with brewing sugar has no advantages &amp;, "carbonation drops", which are mostly  sugar, are an expensive con. If  you like the convenience, just use normal, cheap sugar cubes instead!</t>
    </r>
  </si>
  <si>
    <t xml:space="preserve"> Priming with brewing sugar has no advantages &amp;, "carbonation drops", which are mostly  sugar, are an expensive con. If  you like the convenience use normal, cheap sugar cubes instead!</t>
  </si>
  <si>
    <t xml:space="preserve"> Priming with brewing sugar has no advantages &amp;, "carbonation drops", which are mostly  sugar, are an expensive con. If  you like the convenience use nornal, cheap sugar cubes instead!</t>
  </si>
  <si>
    <t>Priming with brewing sugar has no advantages &amp;, "carbonation drops", which are mostly  sugar, are an expensive con. If  you like the convenience, use normal, cheap sugar cubes instead!</t>
  </si>
  <si>
    <t xml:space="preserve"> Priming with brewing sugar has no advantages &amp;, "carbonation drops", which are mostly  sugar, are an expensive con. If  you like the convenience, use normal, cheap sugar cubes instead!</t>
  </si>
  <si>
    <t>For ANY Beers</t>
  </si>
  <si>
    <t>For ALL Grain Beers (mostly)</t>
  </si>
  <si>
    <r>
      <t xml:space="preserve">For ALL Grain Beers </t>
    </r>
    <r>
      <rPr>
        <b/>
        <u/>
        <sz val="11.5"/>
        <color rgb="FF7030A0"/>
        <rFont val="Times New Roman"/>
        <family val="1"/>
      </rPr>
      <t>(mostly)</t>
    </r>
  </si>
  <si>
    <t>No sugar</t>
  </si>
  <si>
    <t>Inc. any sugars.</t>
  </si>
  <si>
    <t>level tsp hop extract in</t>
  </si>
  <si>
    <r>
      <t>Carbonation Volumes CO</t>
    </r>
    <r>
      <rPr>
        <sz val="8"/>
        <color theme="1" tint="0.34998626667073579"/>
        <rFont val="Times New Roman"/>
        <family val="1"/>
      </rPr>
      <t>2</t>
    </r>
    <r>
      <rPr>
        <sz val="10"/>
        <color theme="1" tint="0.34998626667073579"/>
        <rFont val="Times New Roman"/>
        <family val="1"/>
      </rPr>
      <t xml:space="preserve"> (primed)</t>
    </r>
  </si>
  <si>
    <r>
      <t xml:space="preserve">MAIN </t>
    </r>
    <r>
      <rPr>
        <b/>
        <sz val="10"/>
        <color rgb="FFCC00FF"/>
        <rFont val="Times New Roman"/>
        <family val="1"/>
      </rPr>
      <t xml:space="preserve">boil vol. &amp; time </t>
    </r>
    <r>
      <rPr>
        <sz val="10"/>
        <color rgb="FFCC00FF"/>
        <rFont val="Times New Roman"/>
        <family val="1"/>
      </rPr>
      <t xml:space="preserve">(cells I66 &amp; I68) are </t>
    </r>
    <r>
      <rPr>
        <b/>
        <sz val="10"/>
        <color rgb="FFCC00FF"/>
        <rFont val="Times New Roman"/>
        <family val="1"/>
      </rPr>
      <t>usually</t>
    </r>
    <r>
      <rPr>
        <sz val="10"/>
        <color rgb="FFCC00FF"/>
        <rFont val="Times New Roman"/>
        <family val="1"/>
      </rPr>
      <t xml:space="preserve"> </t>
    </r>
    <r>
      <rPr>
        <b/>
        <sz val="10"/>
        <color rgb="FFCC00FF"/>
        <rFont val="Times New Roman"/>
        <family val="1"/>
      </rPr>
      <t>chosen</t>
    </r>
    <r>
      <rPr>
        <sz val="10"/>
        <color rgb="FFCC00FF"/>
        <rFont val="Times New Roman"/>
        <family val="1"/>
      </rPr>
      <t xml:space="preserve"> to give </t>
    </r>
    <r>
      <rPr>
        <b/>
        <sz val="10"/>
        <color rgb="FFCC00FF"/>
        <rFont val="Times New Roman"/>
        <family val="1"/>
      </rPr>
      <t xml:space="preserve">20% Utilization </t>
    </r>
    <r>
      <rPr>
        <sz val="10"/>
        <color rgb="FFCC00FF"/>
        <rFont val="Times New Roman"/>
        <family val="1"/>
      </rPr>
      <t>(cell I70).</t>
    </r>
  </si>
  <si>
    <r>
      <t xml:space="preserve">MAIN </t>
    </r>
    <r>
      <rPr>
        <b/>
        <sz val="10"/>
        <color rgb="FFC00000"/>
        <rFont val="Times New Roman"/>
        <family val="1"/>
      </rPr>
      <t xml:space="preserve">boil vol. &amp; time </t>
    </r>
    <r>
      <rPr>
        <sz val="10"/>
        <color rgb="FFC00000"/>
        <rFont val="Times New Roman"/>
        <family val="1"/>
      </rPr>
      <t xml:space="preserve">(cells O66 &amp; O68) are </t>
    </r>
    <r>
      <rPr>
        <b/>
        <sz val="10"/>
        <color rgb="FFC00000"/>
        <rFont val="Times New Roman"/>
        <family val="1"/>
      </rPr>
      <t>usually</t>
    </r>
    <r>
      <rPr>
        <sz val="10"/>
        <color rgb="FFC00000"/>
        <rFont val="Times New Roman"/>
        <family val="1"/>
      </rPr>
      <t xml:space="preserve"> </t>
    </r>
    <r>
      <rPr>
        <b/>
        <sz val="10"/>
        <color rgb="FFC00000"/>
        <rFont val="Times New Roman"/>
        <family val="1"/>
      </rPr>
      <t>chosen</t>
    </r>
    <r>
      <rPr>
        <sz val="10"/>
        <color rgb="FFC00000"/>
        <rFont val="Times New Roman"/>
        <family val="1"/>
      </rPr>
      <t xml:space="preserve"> to give </t>
    </r>
    <r>
      <rPr>
        <b/>
        <sz val="10"/>
        <color rgb="FFC00000"/>
        <rFont val="Times New Roman"/>
        <family val="1"/>
      </rPr>
      <t xml:space="preserve">20% Utilization </t>
    </r>
    <r>
      <rPr>
        <sz val="10"/>
        <color rgb="FFC00000"/>
        <rFont val="Times New Roman"/>
        <family val="1"/>
      </rPr>
      <t>(cell O70).</t>
    </r>
  </si>
  <si>
    <t>First Black Gold</t>
  </si>
  <si>
    <t xml:space="preserve"> See the hop utilization setting (cells C122 &amp; D122)</t>
  </si>
  <si>
    <r>
      <t xml:space="preserve">MAIN </t>
    </r>
    <r>
      <rPr>
        <b/>
        <sz val="10"/>
        <color rgb="FFFF33CC"/>
        <rFont val="Times New Roman"/>
        <family val="1"/>
      </rPr>
      <t>boil vol. &amp; time</t>
    </r>
    <r>
      <rPr>
        <sz val="10"/>
        <color rgb="FFFF33CC"/>
        <rFont val="Times New Roman"/>
        <family val="1"/>
      </rPr>
      <t xml:space="preserve"> (cells U66 &amp; U68) </t>
    </r>
    <r>
      <rPr>
        <b/>
        <sz val="10"/>
        <color rgb="FFFF33CC"/>
        <rFont val="Times New Roman"/>
        <family val="1"/>
      </rPr>
      <t>are</t>
    </r>
    <r>
      <rPr>
        <sz val="10"/>
        <color rgb="FFFF33CC"/>
        <rFont val="Times New Roman"/>
        <family val="1"/>
      </rPr>
      <t xml:space="preserve"> chosen to give a </t>
    </r>
    <r>
      <rPr>
        <b/>
        <sz val="10"/>
        <color rgb="FFFF33CC"/>
        <rFont val="Times New Roman"/>
        <family val="1"/>
      </rPr>
      <t>high Utilization</t>
    </r>
    <r>
      <rPr>
        <sz val="10"/>
        <color rgb="FFFF33CC"/>
        <rFont val="Times New Roman"/>
        <family val="1"/>
      </rPr>
      <t xml:space="preserve"> (cell U70).</t>
    </r>
  </si>
  <si>
    <r>
      <t xml:space="preserve">MAIN </t>
    </r>
    <r>
      <rPr>
        <b/>
        <sz val="10"/>
        <color rgb="FFCC00FF"/>
        <rFont val="Times New Roman"/>
        <family val="1"/>
      </rPr>
      <t xml:space="preserve">boil vol. &amp; time </t>
    </r>
    <r>
      <rPr>
        <sz val="10"/>
        <color rgb="FFCC00FF"/>
        <rFont val="Times New Roman"/>
        <family val="1"/>
      </rPr>
      <t xml:space="preserve">(cells I201 &amp; I203) are </t>
    </r>
    <r>
      <rPr>
        <b/>
        <sz val="10"/>
        <color rgb="FFCC00FF"/>
        <rFont val="Times New Roman"/>
        <family val="1"/>
      </rPr>
      <t>usually</t>
    </r>
    <r>
      <rPr>
        <sz val="10"/>
        <color rgb="FFCC00FF"/>
        <rFont val="Times New Roman"/>
        <family val="1"/>
      </rPr>
      <t xml:space="preserve"> </t>
    </r>
    <r>
      <rPr>
        <b/>
        <sz val="10"/>
        <color rgb="FFCC00FF"/>
        <rFont val="Times New Roman"/>
        <family val="1"/>
      </rPr>
      <t>chosen</t>
    </r>
    <r>
      <rPr>
        <sz val="10"/>
        <color rgb="FFCC00FF"/>
        <rFont val="Times New Roman"/>
        <family val="1"/>
      </rPr>
      <t xml:space="preserve"> to give </t>
    </r>
    <r>
      <rPr>
        <b/>
        <sz val="10"/>
        <color rgb="FFCC00FF"/>
        <rFont val="Times New Roman"/>
        <family val="1"/>
      </rPr>
      <t xml:space="preserve">20% Utilization </t>
    </r>
    <r>
      <rPr>
        <sz val="10"/>
        <color rgb="FFCC00FF"/>
        <rFont val="Times New Roman"/>
        <family val="1"/>
      </rPr>
      <t>(cell I205).</t>
    </r>
  </si>
  <si>
    <r>
      <t xml:space="preserve">MAIN </t>
    </r>
    <r>
      <rPr>
        <b/>
        <sz val="10"/>
        <color rgb="FFC00000"/>
        <rFont val="Times New Roman"/>
        <family val="1"/>
      </rPr>
      <t xml:space="preserve">boil vol. &amp; time </t>
    </r>
    <r>
      <rPr>
        <sz val="10"/>
        <color rgb="FFC00000"/>
        <rFont val="Times New Roman"/>
        <family val="1"/>
      </rPr>
      <t xml:space="preserve">(cells O201 &amp; O203 are </t>
    </r>
    <r>
      <rPr>
        <b/>
        <sz val="10"/>
        <color rgb="FFC00000"/>
        <rFont val="Times New Roman"/>
        <family val="1"/>
      </rPr>
      <t>usually</t>
    </r>
    <r>
      <rPr>
        <sz val="10"/>
        <color rgb="FFC00000"/>
        <rFont val="Times New Roman"/>
        <family val="1"/>
      </rPr>
      <t xml:space="preserve"> </t>
    </r>
    <r>
      <rPr>
        <b/>
        <sz val="10"/>
        <color rgb="FFC00000"/>
        <rFont val="Times New Roman"/>
        <family val="1"/>
      </rPr>
      <t>chosen</t>
    </r>
    <r>
      <rPr>
        <sz val="10"/>
        <color rgb="FFC00000"/>
        <rFont val="Times New Roman"/>
        <family val="1"/>
      </rPr>
      <t xml:space="preserve"> to give </t>
    </r>
    <r>
      <rPr>
        <b/>
        <sz val="10"/>
        <color rgb="FFC00000"/>
        <rFont val="Times New Roman"/>
        <family val="1"/>
      </rPr>
      <t xml:space="preserve">20% Utilization </t>
    </r>
    <r>
      <rPr>
        <sz val="10"/>
        <color rgb="FFC00000"/>
        <rFont val="Times New Roman"/>
        <family val="1"/>
      </rPr>
      <t>(cell O205).</t>
    </r>
  </si>
  <si>
    <r>
      <t xml:space="preserve">MAIN </t>
    </r>
    <r>
      <rPr>
        <b/>
        <sz val="10"/>
        <color rgb="FFFF33CC"/>
        <rFont val="Times New Roman"/>
        <family val="1"/>
      </rPr>
      <t>boil vol. &amp; time</t>
    </r>
    <r>
      <rPr>
        <sz val="10"/>
        <color rgb="FFFF33CC"/>
        <rFont val="Times New Roman"/>
        <family val="1"/>
      </rPr>
      <t xml:space="preserve"> (cells U201 &amp; U203) </t>
    </r>
    <r>
      <rPr>
        <b/>
        <sz val="10"/>
        <color rgb="FFFF33CC"/>
        <rFont val="Times New Roman"/>
        <family val="1"/>
      </rPr>
      <t>are chosen</t>
    </r>
    <r>
      <rPr>
        <sz val="10"/>
        <color rgb="FFFF33CC"/>
        <rFont val="Times New Roman"/>
        <family val="1"/>
      </rPr>
      <t xml:space="preserve"> to give a </t>
    </r>
    <r>
      <rPr>
        <b/>
        <sz val="10"/>
        <color rgb="FFFF33CC"/>
        <rFont val="Times New Roman"/>
        <family val="1"/>
      </rPr>
      <t>high Utilization</t>
    </r>
    <r>
      <rPr>
        <sz val="10"/>
        <color rgb="FFFF33CC"/>
        <rFont val="Times New Roman"/>
        <family val="1"/>
      </rPr>
      <t xml:space="preserve"> (cell U205).</t>
    </r>
  </si>
  <si>
    <t>Not sure about this info but it's better than now't!  (Well, possibly.)</t>
  </si>
  <si>
    <r>
      <rPr>
        <u/>
        <sz val="12"/>
        <color indexed="8"/>
        <rFont val="Times New Roman"/>
        <family val="1"/>
      </rPr>
      <t>Example:-</t>
    </r>
    <r>
      <rPr>
        <sz val="12"/>
        <color indexed="8"/>
        <rFont val="Times New Roman"/>
        <family val="1"/>
      </rPr>
      <t xml:space="preserve">
If I lived in Pilsen I wished to imitate the wonderful Doncaster water, I could copy the relevant data from the right-hand table &amp; paste in the above table "Local" &amp; "Target" areas &amp; set my required volume in cell B6, before comparing the two waters in cells D21 etc. but, unfortunately, this calculator does not allow for "reductions".
The coloured boxes show that that the low figures will be increased by the addition of various compounds. By trial &amp; error I (painfully) shove various dosages into the calc. &amp;, hopefully, I can end up with a reasonable compromise. 
If I wanted to emulate Doncaster water then I would just have to move to Doncaster or just forget it &amp; make do with what I had on tap (English/Yorkshire humour?).
</t>
    </r>
  </si>
  <si>
    <t>See cells H83 etc. for the Isomerised hop extract settings.</t>
  </si>
  <si>
    <t>Method 2 was used. The FG was about 10, thus making the yeast the yeast efficiency about 71%?? OR a duff hydro!!</t>
  </si>
  <si>
    <t>litres of racked beer</t>
  </si>
  <si>
    <r>
      <t xml:space="preserve">       </t>
    </r>
    <r>
      <rPr>
        <b/>
        <u/>
        <sz val="24"/>
        <color indexed="8"/>
        <rFont val="Times New Roman"/>
        <family val="1"/>
      </rPr>
      <t>P</t>
    </r>
    <r>
      <rPr>
        <b/>
        <u/>
        <sz val="20"/>
        <color indexed="8"/>
        <rFont val="Times New Roman"/>
        <family val="1"/>
      </rPr>
      <t xml:space="preserve">ete's </t>
    </r>
    <r>
      <rPr>
        <b/>
        <u/>
        <sz val="24"/>
        <color indexed="8"/>
        <rFont val="Times New Roman"/>
        <family val="1"/>
      </rPr>
      <t>Y</t>
    </r>
    <r>
      <rPr>
        <b/>
        <u/>
        <sz val="20"/>
        <color indexed="8"/>
        <rFont val="Times New Roman"/>
        <family val="1"/>
      </rPr>
      <t>o</t>
    </r>
    <r>
      <rPr>
        <b/>
        <u/>
        <sz val="24"/>
        <color indexed="8"/>
        <rFont val="Times New Roman"/>
        <family val="1"/>
      </rPr>
      <t>B</t>
    </r>
    <r>
      <rPr>
        <b/>
        <u/>
        <sz val="20"/>
        <color indexed="8"/>
        <rFont val="Times New Roman"/>
        <family val="1"/>
      </rPr>
      <t xml:space="preserve">rew </t>
    </r>
    <r>
      <rPr>
        <b/>
        <u/>
        <sz val="24"/>
        <color indexed="8"/>
        <rFont val="Times New Roman"/>
        <family val="1"/>
      </rPr>
      <t>B</t>
    </r>
    <r>
      <rPr>
        <b/>
        <u/>
        <sz val="20"/>
        <color indexed="8"/>
        <rFont val="Times New Roman"/>
        <family val="1"/>
      </rPr>
      <t xml:space="preserve">eer </t>
    </r>
    <r>
      <rPr>
        <b/>
        <u/>
        <sz val="24"/>
        <color indexed="8"/>
        <rFont val="Times New Roman"/>
        <family val="1"/>
      </rPr>
      <t>C</t>
    </r>
    <r>
      <rPr>
        <b/>
        <u/>
        <sz val="20"/>
        <color indexed="8"/>
        <rFont val="Times New Roman"/>
        <family val="1"/>
      </rPr>
      <t>alc's.</t>
    </r>
  </si>
  <si>
    <r>
      <rPr>
        <b/>
        <u/>
        <sz val="24"/>
        <color indexed="8"/>
        <rFont val="Times New Roman"/>
        <family val="1"/>
      </rPr>
      <t>P</t>
    </r>
    <r>
      <rPr>
        <b/>
        <u/>
        <sz val="20"/>
        <color indexed="8"/>
        <rFont val="Times New Roman"/>
        <family val="1"/>
      </rPr>
      <t xml:space="preserve">ete's </t>
    </r>
    <r>
      <rPr>
        <b/>
        <u/>
        <sz val="24"/>
        <color indexed="8"/>
        <rFont val="Times New Roman"/>
        <family val="1"/>
      </rPr>
      <t>G</t>
    </r>
    <r>
      <rPr>
        <b/>
        <u/>
        <sz val="20"/>
        <color indexed="8"/>
        <rFont val="Times New Roman"/>
        <family val="1"/>
      </rPr>
      <t xml:space="preserve">eneral </t>
    </r>
    <r>
      <rPr>
        <b/>
        <u/>
        <sz val="24"/>
        <color indexed="8"/>
        <rFont val="Times New Roman"/>
        <family val="1"/>
      </rPr>
      <t>C</t>
    </r>
    <r>
      <rPr>
        <b/>
        <u/>
        <sz val="20"/>
        <color indexed="8"/>
        <rFont val="Times New Roman"/>
        <family val="1"/>
      </rPr>
      <t>alc's</t>
    </r>
  </si>
  <si>
    <r>
      <rPr>
        <b/>
        <u/>
        <sz val="24"/>
        <color indexed="8"/>
        <rFont val="Times New Roman"/>
        <family val="1"/>
      </rPr>
      <t>P</t>
    </r>
    <r>
      <rPr>
        <b/>
        <u/>
        <sz val="20"/>
        <color indexed="8"/>
        <rFont val="Times New Roman"/>
        <family val="1"/>
      </rPr>
      <t xml:space="preserve">ete's </t>
    </r>
    <r>
      <rPr>
        <b/>
        <u/>
        <sz val="24"/>
        <color indexed="8"/>
        <rFont val="Times New Roman"/>
        <family val="1"/>
      </rPr>
      <t>M</t>
    </r>
    <r>
      <rPr>
        <b/>
        <u/>
        <sz val="20"/>
        <color indexed="8"/>
        <rFont val="Times New Roman"/>
        <family val="1"/>
      </rPr>
      <t xml:space="preserve">alt </t>
    </r>
    <r>
      <rPr>
        <b/>
        <u/>
        <sz val="24"/>
        <color indexed="8"/>
        <rFont val="Times New Roman"/>
        <family val="1"/>
      </rPr>
      <t>E</t>
    </r>
    <r>
      <rPr>
        <b/>
        <u/>
        <sz val="20"/>
        <color indexed="8"/>
        <rFont val="Times New Roman"/>
        <family val="1"/>
      </rPr>
      <t xml:space="preserve">xtract </t>
    </r>
    <r>
      <rPr>
        <b/>
        <u/>
        <sz val="24"/>
        <color indexed="8"/>
        <rFont val="Times New Roman"/>
        <family val="1"/>
      </rPr>
      <t>C</t>
    </r>
    <r>
      <rPr>
        <b/>
        <u/>
        <sz val="20"/>
        <color indexed="8"/>
        <rFont val="Times New Roman"/>
        <family val="1"/>
      </rPr>
      <t>alculator</t>
    </r>
  </si>
  <si>
    <r>
      <rPr>
        <b/>
        <u/>
        <sz val="24"/>
        <color indexed="8"/>
        <rFont val="Times New Roman"/>
        <family val="1"/>
      </rPr>
      <t>P</t>
    </r>
    <r>
      <rPr>
        <b/>
        <u/>
        <sz val="20"/>
        <color indexed="8"/>
        <rFont val="Times New Roman"/>
        <family val="1"/>
      </rPr>
      <t xml:space="preserve">ete's </t>
    </r>
    <r>
      <rPr>
        <b/>
        <u/>
        <sz val="24"/>
        <color indexed="8"/>
        <rFont val="Times New Roman"/>
        <family val="1"/>
      </rPr>
      <t>B</t>
    </r>
    <r>
      <rPr>
        <b/>
        <u/>
        <sz val="20"/>
        <color indexed="8"/>
        <rFont val="Times New Roman"/>
        <family val="1"/>
      </rPr>
      <t xml:space="preserve">eer </t>
    </r>
    <r>
      <rPr>
        <b/>
        <u/>
        <sz val="24"/>
        <color indexed="8"/>
        <rFont val="Times New Roman"/>
        <family val="1"/>
      </rPr>
      <t>C</t>
    </r>
    <r>
      <rPr>
        <b/>
        <u/>
        <sz val="20"/>
        <color indexed="8"/>
        <rFont val="Times New Roman"/>
        <family val="1"/>
      </rPr>
      <t>alculator</t>
    </r>
  </si>
  <si>
    <r>
      <rPr>
        <b/>
        <u/>
        <sz val="24"/>
        <color indexed="8"/>
        <rFont val="Times New Roman"/>
        <family val="1"/>
      </rPr>
      <t>P</t>
    </r>
    <r>
      <rPr>
        <b/>
        <u/>
        <sz val="20"/>
        <color indexed="8"/>
        <rFont val="Times New Roman"/>
        <family val="1"/>
      </rPr>
      <t xml:space="preserve">ete's </t>
    </r>
    <r>
      <rPr>
        <b/>
        <u/>
        <sz val="24"/>
        <color indexed="8"/>
        <rFont val="Times New Roman"/>
        <family val="1"/>
      </rPr>
      <t>B</t>
    </r>
    <r>
      <rPr>
        <b/>
        <u/>
        <sz val="20"/>
        <color indexed="8"/>
        <rFont val="Times New Roman"/>
        <family val="1"/>
      </rPr>
      <t xml:space="preserve">eer </t>
    </r>
    <r>
      <rPr>
        <b/>
        <u/>
        <sz val="24"/>
        <color indexed="8"/>
        <rFont val="Times New Roman"/>
        <family val="1"/>
      </rPr>
      <t>S</t>
    </r>
    <r>
      <rPr>
        <b/>
        <u/>
        <sz val="20"/>
        <color indexed="8"/>
        <rFont val="Times New Roman"/>
        <family val="1"/>
      </rPr>
      <t xml:space="preserve">caling </t>
    </r>
    <r>
      <rPr>
        <b/>
        <u/>
        <sz val="24"/>
        <color indexed="8"/>
        <rFont val="Times New Roman"/>
        <family val="1"/>
      </rPr>
      <t>C</t>
    </r>
    <r>
      <rPr>
        <b/>
        <u/>
        <sz val="20"/>
        <color indexed="8"/>
        <rFont val="Times New Roman"/>
        <family val="1"/>
      </rPr>
      <t>alculators</t>
    </r>
  </si>
  <si>
    <r>
      <rPr>
        <b/>
        <u/>
        <sz val="24"/>
        <color indexed="8"/>
        <rFont val="Times New Roman"/>
        <family val="1"/>
      </rPr>
      <t>B</t>
    </r>
    <r>
      <rPr>
        <b/>
        <u/>
        <sz val="20"/>
        <color indexed="8"/>
        <rFont val="Times New Roman"/>
        <family val="1"/>
      </rPr>
      <t xml:space="preserve">eer </t>
    </r>
    <r>
      <rPr>
        <b/>
        <u/>
        <sz val="24"/>
        <color indexed="8"/>
        <rFont val="Times New Roman"/>
        <family val="1"/>
      </rPr>
      <t>D</t>
    </r>
    <r>
      <rPr>
        <b/>
        <u/>
        <sz val="20"/>
        <color indexed="8"/>
        <rFont val="Times New Roman"/>
        <family val="1"/>
      </rPr>
      <t xml:space="preserve">ata </t>
    </r>
    <r>
      <rPr>
        <b/>
        <u/>
        <sz val="24"/>
        <color indexed="8"/>
        <rFont val="Times New Roman"/>
        <family val="1"/>
      </rPr>
      <t>S</t>
    </r>
    <r>
      <rPr>
        <b/>
        <u/>
        <sz val="20"/>
        <color indexed="8"/>
        <rFont val="Times New Roman"/>
        <family val="1"/>
      </rPr>
      <t>heet</t>
    </r>
  </si>
  <si>
    <r>
      <rPr>
        <b/>
        <u/>
        <sz val="24"/>
        <color indexed="8"/>
        <rFont val="Times New Roman"/>
        <family val="1"/>
      </rPr>
      <t>P</t>
    </r>
    <r>
      <rPr>
        <b/>
        <u/>
        <sz val="20"/>
        <color indexed="8"/>
        <rFont val="Times New Roman"/>
        <family val="1"/>
      </rPr>
      <t>ete's</t>
    </r>
    <r>
      <rPr>
        <b/>
        <u/>
        <sz val="24"/>
        <color indexed="8"/>
        <rFont val="Times New Roman"/>
        <family val="1"/>
      </rPr>
      <t xml:space="preserve"> G</t>
    </r>
    <r>
      <rPr>
        <b/>
        <u/>
        <sz val="20"/>
        <color indexed="8"/>
        <rFont val="Times New Roman"/>
        <family val="1"/>
      </rPr>
      <t>luten-</t>
    </r>
    <r>
      <rPr>
        <b/>
        <u/>
        <sz val="24"/>
        <color indexed="8"/>
        <rFont val="Times New Roman"/>
        <family val="1"/>
      </rPr>
      <t>F</t>
    </r>
    <r>
      <rPr>
        <b/>
        <u/>
        <sz val="20"/>
        <color indexed="8"/>
        <rFont val="Times New Roman"/>
        <family val="1"/>
      </rPr>
      <t xml:space="preserve">ree </t>
    </r>
    <r>
      <rPr>
        <b/>
        <u/>
        <sz val="24"/>
        <color indexed="8"/>
        <rFont val="Times New Roman"/>
        <family val="1"/>
      </rPr>
      <t>B</t>
    </r>
    <r>
      <rPr>
        <b/>
        <u/>
        <sz val="20"/>
        <color indexed="8"/>
        <rFont val="Times New Roman"/>
        <family val="1"/>
      </rPr>
      <t xml:space="preserve">eer </t>
    </r>
    <r>
      <rPr>
        <b/>
        <u/>
        <sz val="24"/>
        <color indexed="8"/>
        <rFont val="Times New Roman"/>
        <family val="1"/>
      </rPr>
      <t>C</t>
    </r>
    <r>
      <rPr>
        <b/>
        <u/>
        <sz val="20"/>
        <color indexed="8"/>
        <rFont val="Times New Roman"/>
        <family val="1"/>
      </rPr>
      <t>alculator</t>
    </r>
  </si>
  <si>
    <r>
      <rPr>
        <b/>
        <u/>
        <sz val="24"/>
        <color indexed="8"/>
        <rFont val="Times New Roman"/>
        <family val="1"/>
      </rPr>
      <t>P</t>
    </r>
    <r>
      <rPr>
        <b/>
        <u/>
        <sz val="20"/>
        <color indexed="8"/>
        <rFont val="Times New Roman"/>
        <family val="1"/>
      </rPr>
      <t xml:space="preserve">ete's </t>
    </r>
    <r>
      <rPr>
        <b/>
        <u/>
        <sz val="24"/>
        <color indexed="8"/>
        <rFont val="Times New Roman"/>
        <family val="1"/>
      </rPr>
      <t>P</t>
    </r>
    <r>
      <rPr>
        <b/>
        <u/>
        <sz val="20"/>
        <color indexed="8"/>
        <rFont val="Times New Roman"/>
        <family val="1"/>
      </rPr>
      <t xml:space="preserve">riming </t>
    </r>
    <r>
      <rPr>
        <b/>
        <u/>
        <sz val="24"/>
        <color indexed="8"/>
        <rFont val="Times New Roman"/>
        <family val="1"/>
      </rPr>
      <t>C</t>
    </r>
    <r>
      <rPr>
        <b/>
        <u/>
        <sz val="20"/>
        <color indexed="8"/>
        <rFont val="Times New Roman"/>
        <family val="1"/>
      </rPr>
      <t xml:space="preserve">alc's </t>
    </r>
    <r>
      <rPr>
        <b/>
        <u/>
        <sz val="24"/>
        <color indexed="8"/>
        <rFont val="Times New Roman"/>
        <family val="1"/>
      </rPr>
      <t>F</t>
    </r>
    <r>
      <rPr>
        <b/>
        <u/>
        <sz val="20"/>
        <color indexed="8"/>
        <rFont val="Times New Roman"/>
        <family val="1"/>
      </rPr>
      <t xml:space="preserve">or  </t>
    </r>
    <r>
      <rPr>
        <b/>
        <u/>
        <sz val="24"/>
        <color indexed="8"/>
        <rFont val="Times New Roman"/>
        <family val="1"/>
      </rPr>
      <t>H</t>
    </r>
    <r>
      <rPr>
        <b/>
        <u/>
        <sz val="20"/>
        <color indexed="8"/>
        <rFont val="Times New Roman"/>
        <family val="1"/>
      </rPr>
      <t xml:space="preserve">ome </t>
    </r>
    <r>
      <rPr>
        <b/>
        <u/>
        <sz val="24"/>
        <color indexed="8"/>
        <rFont val="Times New Roman"/>
        <family val="1"/>
      </rPr>
      <t>B</t>
    </r>
    <r>
      <rPr>
        <b/>
        <u/>
        <sz val="20"/>
        <color indexed="8"/>
        <rFont val="Times New Roman"/>
        <family val="1"/>
      </rPr>
      <t xml:space="preserve">rewed </t>
    </r>
    <r>
      <rPr>
        <b/>
        <u/>
        <sz val="24"/>
        <color indexed="8"/>
        <rFont val="Times New Roman"/>
        <family val="1"/>
      </rPr>
      <t>B</t>
    </r>
    <r>
      <rPr>
        <b/>
        <u/>
        <sz val="20"/>
        <color indexed="8"/>
        <rFont val="Times New Roman"/>
        <family val="1"/>
      </rPr>
      <t xml:space="preserve">eers </t>
    </r>
    <r>
      <rPr>
        <b/>
        <u/>
        <sz val="24"/>
        <color indexed="8"/>
        <rFont val="Times New Roman"/>
        <family val="1"/>
      </rPr>
      <t>&amp;</t>
    </r>
    <r>
      <rPr>
        <b/>
        <u/>
        <sz val="20"/>
        <color indexed="8"/>
        <rFont val="Times New Roman"/>
        <family val="1"/>
      </rPr>
      <t xml:space="preserve"> </t>
    </r>
    <r>
      <rPr>
        <b/>
        <u/>
        <sz val="24"/>
        <color indexed="8"/>
        <rFont val="Times New Roman"/>
        <family val="1"/>
      </rPr>
      <t>Wi</t>
    </r>
    <r>
      <rPr>
        <b/>
        <u/>
        <sz val="20"/>
        <color indexed="8"/>
        <rFont val="Times New Roman"/>
        <family val="1"/>
      </rPr>
      <t xml:space="preserve">nes </t>
    </r>
    <r>
      <rPr>
        <b/>
        <u/>
        <sz val="24"/>
        <color indexed="8"/>
        <rFont val="Times New Roman"/>
        <family val="1"/>
      </rPr>
      <t>E</t>
    </r>
    <r>
      <rPr>
        <b/>
        <u/>
        <sz val="20"/>
        <color indexed="8"/>
        <rFont val="Times New Roman"/>
        <family val="1"/>
      </rPr>
      <t>tc.</t>
    </r>
  </si>
  <si>
    <r>
      <rPr>
        <b/>
        <u/>
        <sz val="24"/>
        <color indexed="8"/>
        <rFont val="Times New Roman"/>
        <family val="1"/>
      </rPr>
      <t>P</t>
    </r>
    <r>
      <rPr>
        <b/>
        <u/>
        <sz val="20"/>
        <color indexed="8"/>
        <rFont val="Times New Roman"/>
        <family val="1"/>
      </rPr>
      <t xml:space="preserve">ete's </t>
    </r>
    <r>
      <rPr>
        <b/>
        <u/>
        <sz val="24"/>
        <color indexed="8"/>
        <rFont val="Times New Roman"/>
        <family val="1"/>
      </rPr>
      <t>B</t>
    </r>
    <r>
      <rPr>
        <b/>
        <u/>
        <sz val="20"/>
        <color indexed="8"/>
        <rFont val="Times New Roman"/>
        <family val="1"/>
      </rPr>
      <t xml:space="preserve">eer </t>
    </r>
    <r>
      <rPr>
        <b/>
        <u/>
        <sz val="24"/>
        <color indexed="8"/>
        <rFont val="Times New Roman"/>
        <family val="1"/>
      </rPr>
      <t>K</t>
    </r>
    <r>
      <rPr>
        <b/>
        <u/>
        <sz val="20"/>
        <color indexed="8"/>
        <rFont val="Times New Roman"/>
        <family val="1"/>
      </rPr>
      <t xml:space="preserve">it </t>
    </r>
    <r>
      <rPr>
        <b/>
        <u/>
        <sz val="24"/>
        <color indexed="8"/>
        <rFont val="Times New Roman"/>
        <family val="1"/>
      </rPr>
      <t>C</t>
    </r>
    <r>
      <rPr>
        <b/>
        <u/>
        <sz val="20"/>
        <color indexed="8"/>
        <rFont val="Times New Roman"/>
        <family val="1"/>
      </rPr>
      <t>alculators</t>
    </r>
  </si>
  <si>
    <r>
      <rPr>
        <b/>
        <u/>
        <sz val="24"/>
        <color indexed="8"/>
        <rFont val="Times New Roman"/>
        <family val="1"/>
      </rPr>
      <t>P</t>
    </r>
    <r>
      <rPr>
        <b/>
        <u/>
        <sz val="20"/>
        <color indexed="8"/>
        <rFont val="Times New Roman"/>
        <family val="1"/>
      </rPr>
      <t xml:space="preserve">ete's </t>
    </r>
    <r>
      <rPr>
        <b/>
        <u/>
        <sz val="24"/>
        <color indexed="8"/>
        <rFont val="Times New Roman"/>
        <family val="1"/>
      </rPr>
      <t>W</t>
    </r>
    <r>
      <rPr>
        <b/>
        <u/>
        <sz val="20"/>
        <color indexed="8"/>
        <rFont val="Times New Roman"/>
        <family val="1"/>
      </rPr>
      <t xml:space="preserve">ater </t>
    </r>
    <r>
      <rPr>
        <b/>
        <u/>
        <sz val="24"/>
        <color indexed="8"/>
        <rFont val="Times New Roman"/>
        <family val="1"/>
      </rPr>
      <t>T</t>
    </r>
    <r>
      <rPr>
        <b/>
        <u/>
        <sz val="20"/>
        <color indexed="8"/>
        <rFont val="Times New Roman"/>
        <family val="1"/>
      </rPr>
      <t xml:space="preserve">reatment </t>
    </r>
    <r>
      <rPr>
        <b/>
        <u/>
        <sz val="24"/>
        <color indexed="8"/>
        <rFont val="Times New Roman"/>
        <family val="1"/>
      </rPr>
      <t>C</t>
    </r>
    <r>
      <rPr>
        <b/>
        <u/>
        <sz val="20"/>
        <color indexed="8"/>
        <rFont val="Times New Roman"/>
        <family val="1"/>
      </rPr>
      <t>alculator</t>
    </r>
  </si>
  <si>
    <t>I consider this a bit airy-fairy &amp; of little practical use to most brewers.</t>
  </si>
  <si>
    <t xml:space="preserve">     Where:-</t>
  </si>
  <si>
    <t xml:space="preserve">    Note the cuvette sizes.</t>
  </si>
  <si>
    <t>See cells B57 for batch priming.</t>
  </si>
  <si>
    <t>(ignore if cells C19, C20, C21 etc. are blank or 0)</t>
  </si>
  <si>
    <t>Modified</t>
  </si>
  <si>
    <r>
      <t>Kit volume</t>
    </r>
    <r>
      <rPr>
        <sz val="10"/>
        <color rgb="FFFF0000"/>
        <rFont val="Times New Roman"/>
        <family val="1"/>
      </rPr>
      <t xml:space="preserve"> </t>
    </r>
    <r>
      <rPr>
        <b/>
        <sz val="10"/>
        <color rgb="FFFF0000"/>
        <rFont val="Times New Roman"/>
        <family val="1"/>
      </rPr>
      <t>used</t>
    </r>
    <r>
      <rPr>
        <sz val="10"/>
        <rFont val="Times New Roman"/>
        <family val="1"/>
      </rPr>
      <t xml:space="preserve"> (litres)</t>
    </r>
  </si>
  <si>
    <t>Bitterness, EBU, if known (can be assumed)</t>
  </si>
  <si>
    <t>Total/added bitterness (cells C20, C21 &amp; E21)</t>
  </si>
  <si>
    <r>
      <t>Yeast efficiency %</t>
    </r>
    <r>
      <rPr>
        <u/>
        <sz val="9"/>
        <color theme="1"/>
        <rFont val="Times New Roman"/>
        <family val="1"/>
      </rPr>
      <t xml:space="preserve"> (generally 75 is assumed)</t>
    </r>
  </si>
  <si>
    <t>Colour, EBC, if known (can be assumed)</t>
  </si>
  <si>
    <r>
      <rPr>
        <sz val="10"/>
        <rFont val="Times New Roman"/>
        <family val="1"/>
      </rPr>
      <t xml:space="preserve">Kit volume, </t>
    </r>
    <r>
      <rPr>
        <b/>
        <sz val="10"/>
        <color theme="3" tint="0.39997558519241921"/>
        <rFont val="Times New Roman"/>
        <family val="1"/>
      </rPr>
      <t>quoted</t>
    </r>
    <r>
      <rPr>
        <sz val="10"/>
        <rFont val="Times New Roman"/>
        <family val="1"/>
      </rPr>
      <t xml:space="preserve"> (litres)</t>
    </r>
  </si>
  <si>
    <t>Version 5.Xmas</t>
  </si>
  <si>
    <t>25~12~'20</t>
  </si>
  <si>
    <r>
      <rPr>
        <b/>
        <sz val="10"/>
        <color rgb="FFCC00FF"/>
        <rFont val="Times New Roman"/>
        <family val="1"/>
      </rPr>
      <t>US</t>
    </r>
    <r>
      <rPr>
        <sz val="10"/>
        <color indexed="8"/>
        <rFont val="Times New Roman"/>
        <family val="1"/>
      </rPr>
      <t xml:space="preserve"> Gall.</t>
    </r>
  </si>
  <si>
    <r>
      <rPr>
        <b/>
        <sz val="10"/>
        <color rgb="FFFF0000"/>
        <rFont val="Times New Roman"/>
        <family val="1"/>
      </rPr>
      <t>UK</t>
    </r>
    <r>
      <rPr>
        <sz val="10"/>
        <color indexed="8"/>
        <rFont val="Times New Roman"/>
        <family val="1"/>
      </rPr>
      <t xml:space="preserve"> Gall.</t>
    </r>
  </si>
  <si>
    <r>
      <rPr>
        <b/>
        <sz val="10"/>
        <color rgb="FFCC00FF"/>
        <rFont val="Times New Roman"/>
        <family val="1"/>
      </rPr>
      <t>US</t>
    </r>
    <r>
      <rPr>
        <b/>
        <sz val="10"/>
        <color indexed="8"/>
        <rFont val="Times New Roman"/>
        <family val="1"/>
      </rPr>
      <t xml:space="preserve"> </t>
    </r>
    <r>
      <rPr>
        <sz val="10"/>
        <color indexed="8"/>
        <rFont val="Times New Roman"/>
        <family val="1"/>
      </rPr>
      <t>Pt.</t>
    </r>
  </si>
  <si>
    <r>
      <rPr>
        <b/>
        <sz val="10"/>
        <color rgb="FFFF0000"/>
        <rFont val="Times New Roman"/>
        <family val="1"/>
      </rPr>
      <t>UK</t>
    </r>
    <r>
      <rPr>
        <sz val="10"/>
        <color indexed="8"/>
        <rFont val="Times New Roman"/>
        <family val="1"/>
      </rPr>
      <t xml:space="preserve"> Pt.</t>
    </r>
  </si>
  <si>
    <t xml:space="preserve"> Pt.</t>
  </si>
  <si>
    <r>
      <t xml:space="preserve">lb ̸ gal  </t>
    </r>
    <r>
      <rPr>
        <b/>
        <sz val="10"/>
        <color rgb="FFFF0000"/>
        <rFont val="Times New Roman"/>
        <family val="1"/>
      </rPr>
      <t>UK</t>
    </r>
  </si>
  <si>
    <r>
      <t xml:space="preserve">oz ̸ pt </t>
    </r>
    <r>
      <rPr>
        <sz val="10"/>
        <color rgb="FFFF0000"/>
        <rFont val="Times New Roman"/>
        <family val="1"/>
      </rPr>
      <t xml:space="preserve"> </t>
    </r>
    <r>
      <rPr>
        <b/>
        <sz val="10"/>
        <color rgb="FFFF0000"/>
        <rFont val="Times New Roman"/>
        <family val="1"/>
      </rPr>
      <t>UK</t>
    </r>
  </si>
  <si>
    <r>
      <t xml:space="preserve">lb ̸ gal </t>
    </r>
    <r>
      <rPr>
        <b/>
        <sz val="10"/>
        <color rgb="FFCC00FF"/>
        <rFont val="Times New Roman"/>
        <family val="1"/>
      </rPr>
      <t>US</t>
    </r>
  </si>
  <si>
    <r>
      <t xml:space="preserve">oz ̸ pt </t>
    </r>
    <r>
      <rPr>
        <b/>
        <sz val="10"/>
        <color rgb="FFCC00FF"/>
        <rFont val="Times New Roman"/>
        <family val="1"/>
      </rPr>
      <t>US</t>
    </r>
  </si>
  <si>
    <r>
      <rPr>
        <b/>
        <sz val="10"/>
        <color rgb="FFCC00FF"/>
        <rFont val="Times New Roman"/>
        <family val="1"/>
      </rPr>
      <t>US</t>
    </r>
    <r>
      <rPr>
        <b/>
        <sz val="10"/>
        <color indexed="8"/>
        <rFont val="Times New Roman"/>
        <family val="1"/>
      </rPr>
      <t xml:space="preserve"> </t>
    </r>
    <r>
      <rPr>
        <sz val="10"/>
        <color indexed="8"/>
        <rFont val="Times New Roman"/>
        <family val="1"/>
      </rPr>
      <t>Gall.</t>
    </r>
  </si>
  <si>
    <r>
      <rPr>
        <b/>
        <sz val="10"/>
        <color rgb="FFCC00FF"/>
        <rFont val="Times New Roman"/>
        <family val="1"/>
      </rPr>
      <t>US</t>
    </r>
    <r>
      <rPr>
        <sz val="10"/>
        <color indexed="8"/>
        <rFont val="Times New Roman"/>
        <family val="1"/>
      </rPr>
      <t xml:space="preserve"> Pt.</t>
    </r>
  </si>
  <si>
    <r>
      <t>fl oz</t>
    </r>
    <r>
      <rPr>
        <sz val="10"/>
        <color indexed="10"/>
        <rFont val="Times New Roman"/>
        <family val="1"/>
      </rPr>
      <t xml:space="preserve">  </t>
    </r>
    <r>
      <rPr>
        <b/>
        <sz val="10"/>
        <color indexed="10"/>
        <rFont val="Times New Roman"/>
        <family val="1"/>
      </rPr>
      <t>UK</t>
    </r>
  </si>
  <si>
    <r>
      <t xml:space="preserve">fl oz </t>
    </r>
    <r>
      <rPr>
        <b/>
        <sz val="10"/>
        <color rgb="FFCC00FF"/>
        <rFont val="Times New Roman"/>
        <family val="1"/>
      </rPr>
      <t>US</t>
    </r>
  </si>
  <si>
    <r>
      <rPr>
        <sz val="10"/>
        <color rgb="FFFF0000"/>
        <rFont val="Times New Roman"/>
        <family val="1"/>
      </rPr>
      <t xml:space="preserve"> </t>
    </r>
    <r>
      <rPr>
        <sz val="10"/>
        <color indexed="8"/>
        <rFont val="Times New Roman"/>
        <family val="1"/>
      </rPr>
      <t xml:space="preserve">fl oz </t>
    </r>
    <r>
      <rPr>
        <b/>
        <sz val="10"/>
        <color rgb="FFCC00FF"/>
        <rFont val="Times New Roman"/>
        <family val="1"/>
      </rPr>
      <t>US</t>
    </r>
  </si>
  <si>
    <r>
      <rPr>
        <b/>
        <sz val="10"/>
        <color rgb="FFFF0000"/>
        <rFont val="Times New Roman"/>
        <family val="1"/>
      </rPr>
      <t>OR</t>
    </r>
    <r>
      <rPr>
        <b/>
        <sz val="10"/>
        <rFont val="Times New Roman"/>
        <family val="1"/>
      </rPr>
      <t xml:space="preserve">, </t>
    </r>
    <r>
      <rPr>
        <sz val="10"/>
        <rFont val="Times New Roman"/>
        <family val="1"/>
      </rPr>
      <t>for</t>
    </r>
    <r>
      <rPr>
        <sz val="10"/>
        <color indexed="8"/>
        <rFont val="Times New Roman"/>
        <family val="1"/>
      </rPr>
      <t xml:space="preserve"> a fixed </t>
    </r>
    <r>
      <rPr>
        <b/>
        <sz val="10"/>
        <color rgb="FFFF0000"/>
        <rFont val="Times New Roman"/>
        <family val="1"/>
      </rPr>
      <t>Wt.</t>
    </r>
    <r>
      <rPr>
        <sz val="10"/>
        <color indexed="8"/>
        <rFont val="Times New Roman"/>
        <family val="1"/>
      </rPr>
      <t xml:space="preserve"> of sugar &amp; a fixed </t>
    </r>
    <r>
      <rPr>
        <b/>
        <sz val="10"/>
        <color rgb="FFFF0000"/>
        <rFont val="Times New Roman"/>
        <family val="1"/>
      </rPr>
      <t>Vol.</t>
    </r>
    <r>
      <rPr>
        <sz val="10"/>
        <color indexed="8"/>
        <rFont val="Times New Roman"/>
        <family val="1"/>
      </rPr>
      <t xml:space="preserve"> of water  </t>
    </r>
  </si>
  <si>
    <t xml:space="preserve">   Used for the Hop Utilisation calc’s.</t>
  </si>
  <si>
    <t>Includes ABV ̸ ABW ̸ Proof Calc's.</t>
  </si>
  <si>
    <t>100+</t>
  </si>
  <si>
    <r>
      <t>Using the simpler `brewers degrees - equal to (SG-1000)</t>
    </r>
    <r>
      <rPr>
        <sz val="11"/>
        <color rgb="FFFF0000"/>
        <rFont val="Times New Roman"/>
        <family val="1"/>
      </rPr>
      <t>°</t>
    </r>
    <r>
      <rPr>
        <sz val="10"/>
        <color rgb="FFFF0000"/>
        <rFont val="Times New Roman"/>
        <family val="1"/>
      </rPr>
      <t>. Example: a SG of 993 is represented by (993-1000 ) = -7</t>
    </r>
    <r>
      <rPr>
        <sz val="11"/>
        <color rgb="FFFF0000"/>
        <rFont val="Times New Roman"/>
        <family val="1"/>
      </rPr>
      <t>°</t>
    </r>
  </si>
  <si>
    <r>
      <rPr>
        <u/>
        <sz val="10"/>
        <color indexed="8"/>
        <rFont val="Times New Roman"/>
        <family val="1"/>
      </rPr>
      <t>Not</t>
    </r>
    <r>
      <rPr>
        <sz val="10"/>
        <color indexed="8"/>
        <rFont val="Times New Roman"/>
        <family val="1"/>
      </rPr>
      <t xml:space="preserve"> to be confused with "BEER Colour".</t>
    </r>
  </si>
  <si>
    <t>50</t>
  </si>
  <si>
    <r>
      <t>(</t>
    </r>
    <r>
      <rPr>
        <sz val="10"/>
        <color rgb="FFFF0000"/>
        <rFont val="Times New Roman"/>
        <family val="1"/>
      </rPr>
      <t xml:space="preserve">UK </t>
    </r>
    <r>
      <rPr>
        <sz val="10"/>
        <rFont val="Times New Roman"/>
        <family val="1"/>
      </rPr>
      <t xml:space="preserve">tend to use 20%, </t>
    </r>
    <r>
      <rPr>
        <sz val="10"/>
        <color rgb="FFFF00FF"/>
        <rFont val="Times New Roman"/>
        <family val="1"/>
      </rPr>
      <t>USA</t>
    </r>
    <r>
      <rPr>
        <sz val="10"/>
        <color rgb="FFCC00FF"/>
        <rFont val="Times New Roman"/>
        <family val="1"/>
      </rPr>
      <t>,</t>
    </r>
    <r>
      <rPr>
        <sz val="10"/>
        <rFont val="Times New Roman"/>
        <family val="1"/>
      </rPr>
      <t xml:space="preserve"> 25%)</t>
    </r>
  </si>
  <si>
    <r>
      <rPr>
        <b/>
        <sz val="10"/>
        <color indexed="10"/>
        <rFont val="Times New Roman"/>
        <family val="1"/>
      </rPr>
      <t>UK</t>
    </r>
    <r>
      <rPr>
        <sz val="10"/>
        <color indexed="10"/>
        <rFont val="Times New Roman"/>
        <family val="1"/>
      </rPr>
      <t xml:space="preserve"> </t>
    </r>
    <r>
      <rPr>
        <sz val="10"/>
        <color indexed="8"/>
        <rFont val="Times New Roman"/>
        <family val="1"/>
      </rPr>
      <t>pt</t>
    </r>
  </si>
  <si>
    <r>
      <rPr>
        <b/>
        <sz val="10"/>
        <color rgb="FFFF00FF"/>
        <rFont val="Times New Roman"/>
        <family val="1"/>
      </rPr>
      <t>US</t>
    </r>
    <r>
      <rPr>
        <sz val="10"/>
        <color indexed="8"/>
        <rFont val="Times New Roman"/>
        <family val="1"/>
      </rPr>
      <t xml:space="preserve"> fl oz</t>
    </r>
  </si>
  <si>
    <t>For</t>
  </si>
  <si>
    <t>POO!</t>
  </si>
  <si>
    <t>Fatty!</t>
  </si>
  <si>
    <t>Hi!</t>
  </si>
  <si>
    <t>Hi there!</t>
  </si>
  <si>
    <t>Hello!</t>
  </si>
  <si>
    <r>
      <t xml:space="preserve">Other </t>
    </r>
    <r>
      <rPr>
        <sz val="11"/>
        <color rgb="FFFFFF99"/>
        <rFont val="Times New Roman"/>
        <family val="1"/>
      </rPr>
      <t>Hello cheeky!</t>
    </r>
  </si>
  <si>
    <t xml:space="preserve"> =(-0.0684226,POWER(E72,-1.55082))),1)</t>
  </si>
  <si>
    <t>I love Glenys Vicars!</t>
  </si>
  <si>
    <r>
      <t xml:space="preserve">Wot about Yorkshire Stingo?  A very special ale, which deserves a class of it's own at No. 1! Truly a </t>
    </r>
    <r>
      <rPr>
        <b/>
        <u/>
        <sz val="13"/>
        <color indexed="8"/>
        <rFont val="Times New Roman"/>
        <family val="1"/>
      </rPr>
      <t>PROPPER</t>
    </r>
    <r>
      <rPr>
        <b/>
        <sz val="13"/>
        <color indexed="8"/>
        <rFont val="Times New Roman"/>
        <family val="1"/>
      </rPr>
      <t xml:space="preserve"> beer! Most </t>
    </r>
    <r>
      <rPr>
        <sz val="10"/>
        <color theme="0"/>
        <rFont val="Times New Roman"/>
        <family val="1"/>
      </rPr>
      <t>Standard American Beer!! Yuck!!!</t>
    </r>
  </si>
</sst>
</file>

<file path=xl/styles.xml><?xml version="1.0" encoding="utf-8"?>
<styleSheet xmlns="http://schemas.openxmlformats.org/spreadsheetml/2006/main">
  <numFmts count="12">
    <numFmt numFmtId="43" formatCode="_-* #,##0.00_-;\-* #,##0.00_-;_-* &quot;-&quot;??_-;_-@_-"/>
    <numFmt numFmtId="164" formatCode="0.0"/>
    <numFmt numFmtId="165" formatCode="0.0000"/>
    <numFmt numFmtId="166" formatCode="0.000"/>
    <numFmt numFmtId="167" formatCode="_-\£* #,##0.00_-;&quot;-£&quot;* #,##0.00_-;_-\£* \-??_-;_-@_-"/>
    <numFmt numFmtId="168" formatCode="#,##0.000"/>
    <numFmt numFmtId="169" formatCode="0.0%"/>
    <numFmt numFmtId="170" formatCode="\£#,##0.00"/>
    <numFmt numFmtId="171" formatCode="0.00000"/>
    <numFmt numFmtId="172" formatCode="0.00_ ;[Red]\-0.00\ "/>
    <numFmt numFmtId="173" formatCode="0_ ;[Red]\-0\ "/>
    <numFmt numFmtId="174" formatCode="[$£-809]* \ #,##0.00"/>
  </numFmts>
  <fonts count="346">
    <font>
      <sz val="11"/>
      <color indexed="8"/>
      <name val="Times New Roman"/>
      <family val="1"/>
    </font>
    <font>
      <sz val="11"/>
      <color indexed="8"/>
      <name val="Times New Roman"/>
      <family val="1"/>
    </font>
    <font>
      <sz val="8"/>
      <color theme="0" tint="-0.249977111117893"/>
      <name val="Times New Roman"/>
      <family val="1"/>
    </font>
    <font>
      <b/>
      <u/>
      <sz val="14"/>
      <name val="Times New Roman"/>
      <family val="1"/>
    </font>
    <font>
      <b/>
      <u/>
      <sz val="14"/>
      <color indexed="8"/>
      <name val="Times New Roman"/>
      <family val="1"/>
    </font>
    <font>
      <sz val="10"/>
      <color indexed="8"/>
      <name val="Times New Roman"/>
      <family val="1"/>
    </font>
    <font>
      <b/>
      <u/>
      <sz val="20"/>
      <color indexed="8"/>
      <name val="Times New Roman"/>
      <family val="1"/>
    </font>
    <font>
      <b/>
      <u/>
      <sz val="22"/>
      <color indexed="8"/>
      <name val="Times New Roman"/>
      <family val="1"/>
    </font>
    <font>
      <sz val="8"/>
      <color indexed="8"/>
      <name val="Times New Roman"/>
      <family val="1"/>
    </font>
    <font>
      <sz val="10"/>
      <color indexed="10"/>
      <name val="Times New Roman"/>
      <family val="1"/>
    </font>
    <font>
      <sz val="12"/>
      <color indexed="8"/>
      <name val="Times New Roman"/>
      <family val="1"/>
    </font>
    <font>
      <sz val="8"/>
      <color indexed="22"/>
      <name val="Times New Roman"/>
      <family val="1"/>
    </font>
    <font>
      <u/>
      <sz val="11"/>
      <color indexed="12"/>
      <name val="Times New Roman"/>
      <family val="1"/>
    </font>
    <font>
      <u/>
      <sz val="8"/>
      <color indexed="12"/>
      <name val="Times New Roman"/>
      <family val="1"/>
    </font>
    <font>
      <b/>
      <u/>
      <sz val="10"/>
      <color indexed="8"/>
      <name val="Times New Roman"/>
      <family val="1"/>
    </font>
    <font>
      <u/>
      <sz val="10"/>
      <color indexed="12"/>
      <name val="Times New Roman"/>
      <family val="1"/>
    </font>
    <font>
      <sz val="10"/>
      <color indexed="9"/>
      <name val="Times New Roman"/>
      <family val="1"/>
    </font>
    <font>
      <b/>
      <u/>
      <sz val="10"/>
      <color rgb="FFFF0000"/>
      <name val="Times New Roman"/>
      <family val="1"/>
    </font>
    <font>
      <sz val="10"/>
      <color indexed="8"/>
      <name val="Arial"/>
      <family val="2"/>
    </font>
    <font>
      <b/>
      <u/>
      <sz val="10"/>
      <color indexed="10"/>
      <name val="Times New Roman"/>
      <family val="1"/>
    </font>
    <font>
      <b/>
      <sz val="11"/>
      <color indexed="8"/>
      <name val="Times New Roman"/>
      <family val="1"/>
    </font>
    <font>
      <b/>
      <u/>
      <sz val="11"/>
      <color indexed="8"/>
      <name val="Times New Roman"/>
      <family val="1"/>
    </font>
    <font>
      <b/>
      <u/>
      <sz val="11"/>
      <color indexed="10"/>
      <name val="Times New Roman"/>
      <family val="1"/>
    </font>
    <font>
      <sz val="10"/>
      <color theme="9" tint="-0.249977111117893"/>
      <name val="Times New Roman"/>
      <family val="1"/>
    </font>
    <font>
      <sz val="10"/>
      <color indexed="17"/>
      <name val="Times New Roman"/>
      <family val="1"/>
    </font>
    <font>
      <sz val="10"/>
      <color indexed="57"/>
      <name val="Times New Roman"/>
      <family val="1"/>
    </font>
    <font>
      <b/>
      <sz val="10"/>
      <color indexed="8"/>
      <name val="Times New Roman"/>
      <family val="1"/>
    </font>
    <font>
      <b/>
      <sz val="10"/>
      <color rgb="FFFF0000"/>
      <name val="Times New Roman"/>
      <family val="1"/>
    </font>
    <font>
      <sz val="10"/>
      <color indexed="54"/>
      <name val="Times New Roman"/>
      <family val="1"/>
    </font>
    <font>
      <b/>
      <u/>
      <sz val="10"/>
      <color indexed="14"/>
      <name val="Times New Roman"/>
      <family val="1"/>
    </font>
    <font>
      <b/>
      <u/>
      <sz val="10"/>
      <color indexed="53"/>
      <name val="Times New Roman"/>
      <family val="1"/>
    </font>
    <font>
      <b/>
      <u/>
      <sz val="10"/>
      <color indexed="17"/>
      <name val="Times New Roman"/>
      <family val="1"/>
    </font>
    <font>
      <b/>
      <sz val="10"/>
      <color indexed="10"/>
      <name val="Times New Roman"/>
      <family val="1"/>
    </font>
    <font>
      <sz val="10"/>
      <color indexed="20"/>
      <name val="Times New Roman"/>
      <family val="1"/>
    </font>
    <font>
      <sz val="10"/>
      <color rgb="FFCC00FF"/>
      <name val="Times New Roman"/>
      <family val="1"/>
    </font>
    <font>
      <b/>
      <sz val="10"/>
      <color rgb="FFCC00FF"/>
      <name val="Times New Roman"/>
      <family val="1"/>
    </font>
    <font>
      <sz val="10"/>
      <color rgb="FFC00000"/>
      <name val="Times New Roman"/>
      <family val="1"/>
    </font>
    <font>
      <b/>
      <sz val="10"/>
      <color rgb="FFC00000"/>
      <name val="Times New Roman"/>
      <family val="1"/>
    </font>
    <font>
      <sz val="10"/>
      <color rgb="FFFF66CC"/>
      <name val="Times New Roman"/>
      <family val="1"/>
    </font>
    <font>
      <sz val="10"/>
      <color theme="0"/>
      <name val="Times New Roman"/>
      <family val="1"/>
    </font>
    <font>
      <sz val="10"/>
      <color rgb="FFFF33CC"/>
      <name val="Times New Roman"/>
      <family val="1"/>
    </font>
    <font>
      <b/>
      <sz val="10"/>
      <color rgb="FFFF33CC"/>
      <name val="Times New Roman"/>
      <family val="1"/>
    </font>
    <font>
      <sz val="10"/>
      <color indexed="23"/>
      <name val="Times New Roman"/>
      <family val="1"/>
    </font>
    <font>
      <u/>
      <sz val="10"/>
      <name val="Times New Roman"/>
      <family val="1"/>
    </font>
    <font>
      <sz val="10"/>
      <name val="Times New Roman"/>
      <family val="1"/>
    </font>
    <font>
      <u/>
      <sz val="9"/>
      <color indexed="12"/>
      <name val="Times New Roman"/>
      <family val="1"/>
    </font>
    <font>
      <sz val="8"/>
      <name val="Times New Roman"/>
      <family val="1"/>
    </font>
    <font>
      <sz val="9"/>
      <color indexed="8"/>
      <name val="Times New Roman"/>
      <family val="1"/>
    </font>
    <font>
      <sz val="9"/>
      <color indexed="55"/>
      <name val="Times New Roman"/>
      <family val="1"/>
    </font>
    <font>
      <b/>
      <sz val="12"/>
      <color rgb="FFFF33CC"/>
      <name val="Times New Roman"/>
      <family val="1"/>
    </font>
    <font>
      <b/>
      <sz val="10"/>
      <color rgb="FF0070C0"/>
      <name val="Times New Roman"/>
      <family val="1"/>
    </font>
    <font>
      <sz val="10"/>
      <color rgb="FFFF0000"/>
      <name val="Times New Roman"/>
      <family val="1"/>
    </font>
    <font>
      <sz val="10"/>
      <color theme="0" tint="-0.499984740745262"/>
      <name val="Times New Roman"/>
      <family val="1"/>
    </font>
    <font>
      <b/>
      <sz val="10"/>
      <color indexed="20"/>
      <name val="Times New Roman"/>
      <family val="1"/>
    </font>
    <font>
      <b/>
      <sz val="9"/>
      <color indexed="8"/>
      <name val="Times New Roman"/>
      <family val="1"/>
    </font>
    <font>
      <sz val="10"/>
      <color rgb="FF0070C0"/>
      <name val="Times New Roman"/>
      <family val="1"/>
    </font>
    <font>
      <sz val="10"/>
      <color indexed="55"/>
      <name val="Times New Roman"/>
      <family val="1"/>
    </font>
    <font>
      <b/>
      <sz val="10"/>
      <color rgb="FF800080"/>
      <name val="Times New Roman"/>
      <family val="1"/>
    </font>
    <font>
      <b/>
      <sz val="10"/>
      <color indexed="46"/>
      <name val="Times New Roman"/>
      <family val="1"/>
    </font>
    <font>
      <b/>
      <sz val="10"/>
      <name val="Times New Roman"/>
      <family val="1"/>
    </font>
    <font>
      <b/>
      <sz val="10"/>
      <color rgb="FF3366FF"/>
      <name val="Times New Roman"/>
      <family val="1"/>
    </font>
    <font>
      <sz val="10"/>
      <color rgb="FF3366FF"/>
      <name val="Times New Roman"/>
      <family val="1"/>
    </font>
    <font>
      <b/>
      <sz val="10"/>
      <color indexed="60"/>
      <name val="Times New Roman"/>
      <family val="1"/>
    </font>
    <font>
      <b/>
      <u/>
      <sz val="10"/>
      <color rgb="FFFF33CC"/>
      <name val="Times New Roman"/>
      <family val="1"/>
    </font>
    <font>
      <sz val="10"/>
      <color theme="1"/>
      <name val="Times New Roman"/>
      <family val="1"/>
    </font>
    <font>
      <i/>
      <sz val="10"/>
      <color indexed="10"/>
      <name val="Times New Roman"/>
      <family val="1"/>
    </font>
    <font>
      <sz val="11"/>
      <color indexed="10"/>
      <name val="Times New Roman"/>
      <family val="1"/>
    </font>
    <font>
      <sz val="7"/>
      <color indexed="22"/>
      <name val="Times New Roman"/>
      <family val="1"/>
    </font>
    <font>
      <b/>
      <sz val="11"/>
      <color indexed="10"/>
      <name val="Times New Roman"/>
      <family val="1"/>
    </font>
    <font>
      <sz val="10"/>
      <color theme="9" tint="-0.499984740745262"/>
      <name val="Times New Roman"/>
      <family val="1"/>
    </font>
    <font>
      <b/>
      <i/>
      <sz val="14"/>
      <color indexed="10"/>
      <name val="Times New Roman"/>
      <family val="1"/>
    </font>
    <font>
      <sz val="8"/>
      <color theme="0" tint="-0.499984740745262"/>
      <name val="Times New Roman"/>
      <family val="1"/>
    </font>
    <font>
      <sz val="6"/>
      <color indexed="8"/>
      <name val="Times New Roman"/>
      <family val="1"/>
    </font>
    <font>
      <sz val="7"/>
      <color indexed="8"/>
      <name val="Times New Roman"/>
      <family val="1"/>
    </font>
    <font>
      <sz val="10"/>
      <color rgb="FF800080"/>
      <name val="Times New Roman"/>
      <family val="1"/>
    </font>
    <font>
      <sz val="10"/>
      <color rgb="FF7030A0"/>
      <name val="Times New Roman"/>
      <family val="1"/>
    </font>
    <font>
      <sz val="9"/>
      <color indexed="63"/>
      <name val="Times New Roman"/>
      <family val="1"/>
    </font>
    <font>
      <sz val="10"/>
      <color indexed="63"/>
      <name val="Times New Roman"/>
      <family val="1"/>
    </font>
    <font>
      <sz val="9"/>
      <color indexed="10"/>
      <name val="Times New Roman"/>
      <family val="1"/>
    </font>
    <font>
      <sz val="11"/>
      <color indexed="8"/>
      <name val="Calibri"/>
      <family val="2"/>
    </font>
    <font>
      <b/>
      <sz val="11"/>
      <color indexed="52"/>
      <name val="Calibri"/>
      <family val="2"/>
    </font>
    <font>
      <b/>
      <sz val="15"/>
      <color indexed="56"/>
      <name val="Calibri"/>
      <family val="2"/>
    </font>
    <font>
      <b/>
      <sz val="13"/>
      <color indexed="56"/>
      <name val="Calibri"/>
      <family val="2"/>
    </font>
    <font>
      <u/>
      <sz val="11"/>
      <color theme="10"/>
      <name val="Calibri"/>
      <family val="2"/>
      <scheme val="minor"/>
    </font>
    <font>
      <sz val="11"/>
      <color indexed="62"/>
      <name val="Calibri"/>
      <family val="2"/>
    </font>
    <font>
      <sz val="10"/>
      <name val="Arial"/>
      <family val="2"/>
    </font>
    <font>
      <sz val="11"/>
      <color theme="1"/>
      <name val="Calibri"/>
      <family val="2"/>
      <scheme val="minor"/>
    </font>
    <font>
      <b/>
      <sz val="11"/>
      <color indexed="63"/>
      <name val="Calibri"/>
      <family val="2"/>
    </font>
    <font>
      <b/>
      <sz val="11"/>
      <color indexed="8"/>
      <name val="Calibri"/>
      <family val="2"/>
    </font>
    <font>
      <sz val="11"/>
      <color indexed="8"/>
      <name val="Times New Roman"/>
      <family val="1"/>
    </font>
    <font>
      <sz val="8"/>
      <color indexed="55"/>
      <name val="Times New Roman"/>
      <family val="1"/>
    </font>
    <font>
      <sz val="14"/>
      <color indexed="8"/>
      <name val="Times New Roman"/>
      <family val="1"/>
    </font>
    <font>
      <b/>
      <u/>
      <sz val="10.5"/>
      <color indexed="8"/>
      <name val="Times New Roman"/>
      <family val="1"/>
    </font>
    <font>
      <sz val="10"/>
      <color indexed="22"/>
      <name val="Times New Roman"/>
      <family val="1"/>
    </font>
    <font>
      <b/>
      <i/>
      <sz val="11"/>
      <color indexed="10"/>
      <name val="Times New Roman"/>
      <family val="1"/>
    </font>
    <font>
      <sz val="10"/>
      <color indexed="60"/>
      <name val="Times New Roman"/>
      <family val="1"/>
    </font>
    <font>
      <b/>
      <sz val="8"/>
      <color rgb="FFFF0000"/>
      <name val="Times New Roman"/>
      <family val="1"/>
    </font>
    <font>
      <b/>
      <sz val="8"/>
      <color indexed="46"/>
      <name val="Times New Roman"/>
      <family val="1"/>
    </font>
    <font>
      <b/>
      <u/>
      <sz val="10"/>
      <name val="Times New Roman"/>
      <family val="1"/>
    </font>
    <font>
      <sz val="11"/>
      <color theme="0" tint="-0.249977111117893"/>
      <name val="Times New Roman"/>
      <family val="1"/>
    </font>
    <font>
      <sz val="10"/>
      <color rgb="FF808080"/>
      <name val="Times New Roman"/>
      <family val="1"/>
    </font>
    <font>
      <b/>
      <sz val="10"/>
      <color rgb="FF808080"/>
      <name val="Times New Roman"/>
      <family val="1"/>
    </font>
    <font>
      <b/>
      <sz val="10"/>
      <color theme="0" tint="-0.499984740745262"/>
      <name val="Times New Roman"/>
      <family val="1"/>
    </font>
    <font>
      <sz val="10"/>
      <color indexed="53"/>
      <name val="Times New Roman"/>
      <family val="1"/>
    </font>
    <font>
      <sz val="10"/>
      <color indexed="14"/>
      <name val="Times New Roman"/>
      <family val="1"/>
    </font>
    <font>
      <u/>
      <sz val="10"/>
      <color indexed="8"/>
      <name val="Times New Roman"/>
      <family val="1"/>
    </font>
    <font>
      <sz val="10"/>
      <color indexed="48"/>
      <name val="Times New Roman"/>
      <family val="1"/>
    </font>
    <font>
      <sz val="9"/>
      <color theme="0" tint="-0.499984740745262"/>
      <name val="Times New Roman"/>
      <family val="1"/>
    </font>
    <font>
      <i/>
      <sz val="10"/>
      <color indexed="8"/>
      <name val="Times New Roman"/>
      <family val="1"/>
    </font>
    <font>
      <i/>
      <sz val="10"/>
      <color indexed="60"/>
      <name val="Times New Roman"/>
      <family val="1"/>
    </font>
    <font>
      <i/>
      <sz val="10"/>
      <color indexed="57"/>
      <name val="Times New Roman"/>
      <family val="1"/>
    </font>
    <font>
      <sz val="9"/>
      <color rgb="FFC00000"/>
      <name val="Times New Roman"/>
      <family val="1"/>
    </font>
    <font>
      <b/>
      <sz val="9"/>
      <color rgb="FFFF33CC"/>
      <name val="Times New Roman"/>
      <family val="1"/>
    </font>
    <font>
      <sz val="10"/>
      <color indexed="50"/>
      <name val="Times New Roman"/>
      <family val="1"/>
    </font>
    <font>
      <sz val="11"/>
      <color indexed="53"/>
      <name val="Times New Roman"/>
      <family val="1"/>
    </font>
    <font>
      <sz val="10"/>
      <color indexed="12"/>
      <name val="Times New Roman"/>
      <family val="1"/>
    </font>
    <font>
      <sz val="10"/>
      <color theme="0" tint="-4.9989318521683403E-2"/>
      <name val="Times New Roman"/>
      <family val="1"/>
    </font>
    <font>
      <sz val="9.5"/>
      <color indexed="8"/>
      <name val="Times New Roman"/>
      <family val="1"/>
    </font>
    <font>
      <sz val="8"/>
      <color indexed="23"/>
      <name val="Times New Roman"/>
      <family val="1"/>
    </font>
    <font>
      <sz val="8"/>
      <color indexed="10"/>
      <name val="Times New Roman"/>
      <family val="1"/>
    </font>
    <font>
      <u/>
      <sz val="9"/>
      <color indexed="8"/>
      <name val="Times New Roman"/>
      <family val="1"/>
    </font>
    <font>
      <u/>
      <sz val="11"/>
      <color indexed="8"/>
      <name val="Times New Roman"/>
      <family val="1"/>
    </font>
    <font>
      <b/>
      <sz val="20"/>
      <color indexed="8"/>
      <name val="Times New Roman"/>
      <family val="1"/>
    </font>
    <font>
      <sz val="9"/>
      <color indexed="22"/>
      <name val="Times New Roman"/>
      <family val="1"/>
    </font>
    <font>
      <sz val="8"/>
      <color theme="0" tint="-0.34998626667073579"/>
      <name val="Times New Roman"/>
      <family val="1"/>
    </font>
    <font>
      <sz val="10.5"/>
      <color indexed="8"/>
      <name val="Times New Roman"/>
      <family val="1"/>
    </font>
    <font>
      <sz val="10.5"/>
      <color indexed="48"/>
      <name val="Times New Roman"/>
      <family val="1"/>
    </font>
    <font>
      <sz val="10.5"/>
      <color indexed="10"/>
      <name val="Times New Roman"/>
      <family val="1"/>
    </font>
    <font>
      <sz val="10.5"/>
      <color indexed="23"/>
      <name val="Times New Roman"/>
      <family val="1"/>
    </font>
    <font>
      <sz val="12"/>
      <color indexed="9"/>
      <name val="Times New Roman"/>
      <family val="1"/>
    </font>
    <font>
      <sz val="16"/>
      <color indexed="8"/>
      <name val="Times New Roman"/>
      <family val="1"/>
    </font>
    <font>
      <i/>
      <sz val="8"/>
      <color indexed="10"/>
      <name val="Times New Roman"/>
      <family val="1"/>
    </font>
    <font>
      <sz val="13"/>
      <color indexed="8"/>
      <name val="Times New Roman"/>
      <family val="1"/>
    </font>
    <font>
      <sz val="12"/>
      <color indexed="10"/>
      <name val="Times New Roman"/>
      <family val="1"/>
    </font>
    <font>
      <sz val="10"/>
      <color indexed="11"/>
      <name val="Times New Roman"/>
      <family val="1"/>
    </font>
    <font>
      <sz val="8"/>
      <color indexed="53"/>
      <name val="Times New Roman"/>
      <family val="1"/>
    </font>
    <font>
      <sz val="11"/>
      <name val="Times New Roman"/>
      <family val="1"/>
    </font>
    <font>
      <sz val="11"/>
      <color indexed="55"/>
      <name val="Times New Roman"/>
      <family val="1"/>
    </font>
    <font>
      <sz val="10"/>
      <color theme="0" tint="-0.34998626667073579"/>
      <name val="Times New Roman"/>
      <family val="1"/>
    </font>
    <font>
      <sz val="10"/>
      <color indexed="21"/>
      <name val="Times New Roman"/>
      <family val="1"/>
    </font>
    <font>
      <b/>
      <sz val="8"/>
      <color indexed="10"/>
      <name val="Times New Roman"/>
      <family val="1"/>
    </font>
    <font>
      <b/>
      <u/>
      <sz val="20"/>
      <color theme="0"/>
      <name val="Times New Roman"/>
      <family val="1"/>
    </font>
    <font>
      <sz val="12"/>
      <color theme="0"/>
      <name val="Times New Roman"/>
      <family val="1"/>
    </font>
    <font>
      <sz val="12"/>
      <name val="Times New Roman"/>
      <family val="1"/>
    </font>
    <font>
      <sz val="10"/>
      <name val="Arial"/>
      <family val="2"/>
    </font>
    <font>
      <sz val="10"/>
      <name val="Arial"/>
      <family val="2"/>
    </font>
    <font>
      <b/>
      <sz val="14"/>
      <color indexed="8"/>
      <name val="Times New Roman"/>
      <family val="1"/>
    </font>
    <font>
      <b/>
      <sz val="9"/>
      <color rgb="FFFF0000"/>
      <name val="Times New Roman"/>
      <family val="1"/>
    </font>
    <font>
      <b/>
      <i/>
      <u/>
      <sz val="16"/>
      <color indexed="10"/>
      <name val="Times New Roman"/>
      <family val="1"/>
    </font>
    <font>
      <b/>
      <i/>
      <u/>
      <sz val="14"/>
      <color indexed="10"/>
      <name val="Times New Roman"/>
      <family val="1"/>
    </font>
    <font>
      <sz val="9"/>
      <name val="Times New Roman"/>
      <family val="1"/>
    </font>
    <font>
      <b/>
      <sz val="10"/>
      <color theme="0" tint="-0.249977111117893"/>
      <name val="Times New Roman"/>
      <family val="1"/>
    </font>
    <font>
      <sz val="10"/>
      <color rgb="FF969696"/>
      <name val="Times New Roman"/>
      <family val="1"/>
    </font>
    <font>
      <b/>
      <u/>
      <sz val="16"/>
      <color indexed="10"/>
      <name val="Times New Roman"/>
      <family val="1"/>
    </font>
    <font>
      <b/>
      <sz val="10"/>
      <color rgb="FF008000"/>
      <name val="Times New Roman"/>
      <family val="1"/>
    </font>
    <font>
      <sz val="10"/>
      <color rgb="FF008000"/>
      <name val="Times New Roman"/>
      <family val="1"/>
    </font>
    <font>
      <sz val="10"/>
      <color indexed="52"/>
      <name val="Times New Roman"/>
      <family val="1"/>
    </font>
    <font>
      <sz val="11"/>
      <color indexed="46"/>
      <name val="Times New Roman"/>
      <family val="1"/>
    </font>
    <font>
      <sz val="9"/>
      <color rgb="FFFF0000"/>
      <name val="Times New Roman"/>
      <family val="1"/>
    </font>
    <font>
      <i/>
      <sz val="10"/>
      <color rgb="FF008000"/>
      <name val="Times New Roman"/>
      <family val="1"/>
    </font>
    <font>
      <i/>
      <sz val="10"/>
      <color rgb="FFFF0000"/>
      <name val="Times New Roman"/>
      <family val="1"/>
    </font>
    <font>
      <sz val="9"/>
      <color indexed="57"/>
      <name val="Times New Roman"/>
      <family val="1"/>
    </font>
    <font>
      <b/>
      <i/>
      <u/>
      <sz val="14"/>
      <color theme="0" tint="-0.14999847407452621"/>
      <name val="Times New Roman"/>
      <family val="1"/>
    </font>
    <font>
      <b/>
      <u/>
      <sz val="9.5"/>
      <color indexed="10"/>
      <name val="Times New Roman"/>
      <family val="1"/>
    </font>
    <font>
      <sz val="8"/>
      <color theme="0" tint="-4.9989318521683403E-2"/>
      <name val="Times New Roman"/>
      <family val="1"/>
    </font>
    <font>
      <sz val="11"/>
      <color theme="0" tint="-0.14999847407452621"/>
      <name val="Times New Roman"/>
      <family val="1"/>
    </font>
    <font>
      <sz val="11"/>
      <color theme="0" tint="-4.9989318521683403E-2"/>
      <name val="Times New Roman"/>
      <family val="1"/>
    </font>
    <font>
      <sz val="20"/>
      <color theme="0" tint="-4.9989318521683403E-2"/>
      <name val="Times New Roman"/>
      <family val="1"/>
    </font>
    <font>
      <b/>
      <u/>
      <sz val="10"/>
      <color theme="0"/>
      <name val="Times New Roman"/>
      <family val="1"/>
    </font>
    <font>
      <b/>
      <sz val="10"/>
      <color rgb="FF0BA549"/>
      <name val="Times New Roman"/>
      <family val="1"/>
    </font>
    <font>
      <sz val="10"/>
      <color rgb="FFFF6600"/>
      <name val="Times New Roman"/>
      <family val="1"/>
    </font>
    <font>
      <i/>
      <sz val="8"/>
      <color rgb="FFFF0000"/>
      <name val="Times New Roman"/>
      <family val="1"/>
    </font>
    <font>
      <sz val="11.5"/>
      <color indexed="8"/>
      <name val="Times New Roman"/>
      <family val="1"/>
    </font>
    <font>
      <b/>
      <i/>
      <u/>
      <sz val="13"/>
      <color rgb="FF3366FF"/>
      <name val="Times New Roman"/>
      <family val="1"/>
    </font>
    <font>
      <sz val="11"/>
      <color theme="0"/>
      <name val="Times New Roman"/>
      <family val="1"/>
    </font>
    <font>
      <sz val="10"/>
      <color rgb="FFFF00FF"/>
      <name val="Times New Roman"/>
      <family val="1"/>
    </font>
    <font>
      <sz val="10"/>
      <color rgb="FF993300"/>
      <name val="Times New Roman"/>
      <family val="1"/>
    </font>
    <font>
      <b/>
      <sz val="10"/>
      <color rgb="FFFF00FF"/>
      <name val="Times New Roman"/>
      <family val="1"/>
    </font>
    <font>
      <b/>
      <sz val="12"/>
      <color indexed="8"/>
      <name val="Times New Roman"/>
      <family val="1"/>
    </font>
    <font>
      <b/>
      <u/>
      <sz val="12"/>
      <color indexed="8"/>
      <name val="Times New Roman"/>
      <family val="1"/>
    </font>
    <font>
      <b/>
      <sz val="14"/>
      <color rgb="FFFF33CC"/>
      <name val="Times New Roman"/>
      <family val="1"/>
    </font>
    <font>
      <b/>
      <sz val="14"/>
      <color rgb="FFFF0000"/>
      <name val="Times New Roman"/>
      <family val="1"/>
    </font>
    <font>
      <b/>
      <sz val="14"/>
      <color indexed="10"/>
      <name val="Times New Roman"/>
      <family val="1"/>
    </font>
    <font>
      <b/>
      <sz val="13"/>
      <color indexed="10"/>
      <name val="Times New Roman"/>
      <family val="1"/>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1"/>
    </font>
    <font>
      <sz val="11"/>
      <color indexed="10"/>
      <name val="Calibri"/>
      <family val="2"/>
    </font>
    <font>
      <sz val="10.5"/>
      <color rgb="FFCC00FF"/>
      <name val="Times New Roman"/>
      <family val="1"/>
    </font>
    <font>
      <sz val="10.5"/>
      <color rgb="FFC00000"/>
      <name val="Times New Roman"/>
      <family val="1"/>
    </font>
    <font>
      <sz val="10.5"/>
      <color rgb="FFFF33CC"/>
      <name val="Times New Roman"/>
      <family val="1"/>
    </font>
    <font>
      <sz val="11"/>
      <color indexed="8"/>
      <name val="Times New Roman"/>
      <family val="1"/>
    </font>
    <font>
      <u/>
      <sz val="10"/>
      <color indexed="14"/>
      <name val="Times New Roman"/>
      <family val="1"/>
    </font>
    <font>
      <b/>
      <sz val="10"/>
      <color rgb="FFFF66CC"/>
      <name val="Times New Roman"/>
      <family val="1"/>
    </font>
    <font>
      <b/>
      <sz val="8"/>
      <color indexed="8"/>
      <name val="Times New Roman"/>
      <family val="1"/>
    </font>
    <font>
      <b/>
      <sz val="12"/>
      <color indexed="10"/>
      <name val="Times New Roman"/>
      <family val="1"/>
    </font>
    <font>
      <b/>
      <sz val="12"/>
      <color rgb="FFFF66CC"/>
      <name val="Times New Roman"/>
      <family val="1"/>
    </font>
    <font>
      <sz val="10"/>
      <color theme="1" tint="0.499984740745262"/>
      <name val="Times New Roman"/>
      <family val="1"/>
    </font>
    <font>
      <sz val="11"/>
      <color rgb="FFFF0000"/>
      <name val="Times New Roman"/>
      <family val="1"/>
    </font>
    <font>
      <sz val="11"/>
      <color theme="1" tint="0.499984740745262"/>
      <name val="Times New Roman"/>
      <family val="1"/>
    </font>
    <font>
      <sz val="9"/>
      <color rgb="FF3366FF"/>
      <name val="Times New Roman"/>
      <family val="1"/>
    </font>
    <font>
      <sz val="11"/>
      <color rgb="FF3366FF"/>
      <name val="Times New Roman"/>
      <family val="1"/>
    </font>
    <font>
      <sz val="10"/>
      <color rgb="FF000000"/>
      <name val="Times New Roman"/>
      <family val="1"/>
    </font>
    <font>
      <b/>
      <sz val="9"/>
      <color rgb="FFC00000"/>
      <name val="Times New Roman"/>
      <family val="1"/>
    </font>
    <font>
      <sz val="9"/>
      <color rgb="FFFF33CC"/>
      <name val="Times New Roman"/>
      <family val="1"/>
    </font>
    <font>
      <sz val="10"/>
      <color indexed="46"/>
      <name val="Times New Roman"/>
      <family val="1"/>
    </font>
    <font>
      <sz val="11"/>
      <color rgb="FFFF33CC"/>
      <name val="Times New Roman"/>
      <family val="1"/>
    </font>
    <font>
      <sz val="8"/>
      <color rgb="FFFF66CC"/>
      <name val="Times New Roman"/>
      <family val="1"/>
    </font>
    <font>
      <sz val="9"/>
      <color rgb="FFCC00FF"/>
      <name val="Times New Roman"/>
      <family val="1"/>
    </font>
    <font>
      <b/>
      <sz val="9"/>
      <color rgb="FFCC00FF"/>
      <name val="Times New Roman"/>
      <family val="1"/>
    </font>
    <font>
      <b/>
      <u/>
      <sz val="18"/>
      <color indexed="8"/>
      <name val="Times New Roman"/>
      <family val="1"/>
    </font>
    <font>
      <b/>
      <u/>
      <sz val="11.5"/>
      <color indexed="8"/>
      <name val="Times New Roman"/>
      <family val="1"/>
    </font>
    <font>
      <b/>
      <sz val="7"/>
      <color indexed="8"/>
      <name val="Times New Roman"/>
      <family val="1"/>
    </font>
    <font>
      <b/>
      <u/>
      <sz val="11"/>
      <color rgb="FFFF0000"/>
      <name val="Times New Roman"/>
      <family val="1"/>
    </font>
    <font>
      <b/>
      <sz val="11"/>
      <name val="Times New Roman"/>
      <family val="1"/>
    </font>
    <font>
      <sz val="11"/>
      <color theme="0" tint="-0.499984740745262"/>
      <name val="Times New Roman"/>
      <family val="1"/>
    </font>
    <font>
      <sz val="11"/>
      <color theme="1"/>
      <name val="Times New Roman"/>
      <family val="1"/>
    </font>
    <font>
      <vertAlign val="subscript"/>
      <sz val="12"/>
      <color indexed="8"/>
      <name val="Times New Roman"/>
      <family val="1"/>
    </font>
    <font>
      <sz val="12"/>
      <color theme="0" tint="-0.499984740745262"/>
      <name val="Times New Roman"/>
      <family val="1"/>
    </font>
    <font>
      <sz val="11"/>
      <color indexed="8"/>
      <name val="Book Antiqua"/>
      <family val="1"/>
    </font>
    <font>
      <sz val="11"/>
      <color indexed="8"/>
      <name val="Times New Roman"/>
      <family val="1"/>
    </font>
    <font>
      <b/>
      <u/>
      <sz val="16"/>
      <color indexed="8"/>
      <name val="Times New Roman"/>
      <family val="1"/>
    </font>
    <font>
      <b/>
      <sz val="10"/>
      <color indexed="48"/>
      <name val="Times New Roman"/>
      <family val="1"/>
    </font>
    <font>
      <sz val="10"/>
      <color theme="4"/>
      <name val="Times New Roman"/>
      <family val="1"/>
    </font>
    <font>
      <sz val="10"/>
      <color theme="7" tint="-0.499984740745262"/>
      <name val="Times New Roman"/>
      <family val="1"/>
    </font>
    <font>
      <sz val="9"/>
      <color theme="1" tint="0.499984740745262"/>
      <name val="Times New Roman"/>
      <family val="1"/>
    </font>
    <font>
      <sz val="10"/>
      <color rgb="FF339966"/>
      <name val="Times New Roman"/>
      <family val="1"/>
    </font>
    <font>
      <sz val="10"/>
      <color rgb="FF0BA549"/>
      <name val="Times New Roman"/>
      <family val="1"/>
    </font>
    <font>
      <sz val="10"/>
      <color rgb="FF00B050"/>
      <name val="Times New Roman"/>
      <family val="1"/>
    </font>
    <font>
      <b/>
      <sz val="10.5"/>
      <color indexed="8"/>
      <name val="Times New Roman"/>
      <family val="1"/>
    </font>
    <font>
      <b/>
      <u/>
      <sz val="10.6"/>
      <color indexed="8"/>
      <name val="Times New Roman"/>
      <family val="1"/>
    </font>
    <font>
      <b/>
      <u/>
      <sz val="11.5"/>
      <name val="Times New Roman"/>
      <family val="1"/>
    </font>
    <font>
      <u/>
      <sz val="11.5"/>
      <color indexed="8"/>
      <name val="Times New Roman"/>
      <family val="1"/>
    </font>
    <font>
      <u/>
      <sz val="11"/>
      <color indexed="10"/>
      <name val="Times New Roman"/>
      <family val="1"/>
    </font>
    <font>
      <sz val="8"/>
      <color indexed="63"/>
      <name val="Times New Roman"/>
      <family val="1"/>
    </font>
    <font>
      <u/>
      <sz val="12"/>
      <color indexed="8"/>
      <name val="Times New Roman"/>
      <family val="1"/>
    </font>
    <font>
      <b/>
      <u/>
      <sz val="48"/>
      <color indexed="20"/>
      <name val="Times New Roman"/>
      <family val="1"/>
    </font>
    <font>
      <u/>
      <sz val="12"/>
      <color indexed="12"/>
      <name val="Times New Roman"/>
      <family val="1"/>
    </font>
    <font>
      <b/>
      <sz val="48"/>
      <color indexed="20"/>
      <name val="Times New Roman"/>
      <family val="1"/>
    </font>
    <font>
      <u/>
      <sz val="16"/>
      <color indexed="12"/>
      <name val="Times New Roman"/>
      <family val="1"/>
    </font>
    <font>
      <sz val="6"/>
      <color theme="0" tint="-0.499984740745262"/>
      <name val="Times New Roman"/>
      <family val="1"/>
    </font>
    <font>
      <b/>
      <sz val="9"/>
      <color indexed="10"/>
      <name val="Times New Roman"/>
      <family val="1"/>
    </font>
    <font>
      <sz val="11"/>
      <color rgb="FF008000"/>
      <name val="Times New Roman"/>
      <family val="1"/>
    </font>
    <font>
      <b/>
      <i/>
      <sz val="9"/>
      <color indexed="8"/>
      <name val="Times New Roman"/>
      <family val="1"/>
    </font>
    <font>
      <sz val="10"/>
      <color rgb="FF7F7F7F"/>
      <name val="Times New Roman"/>
      <family val="1"/>
    </font>
    <font>
      <sz val="12"/>
      <color rgb="FF7F7F7F"/>
      <name val="Times New Roman"/>
      <family val="1"/>
    </font>
    <font>
      <sz val="10.5"/>
      <color rgb="FFFF0000"/>
      <name val="Times New Roman"/>
      <family val="1"/>
    </font>
    <font>
      <b/>
      <u/>
      <sz val="11"/>
      <color theme="0" tint="-0.499984740745262"/>
      <name val="Times New Roman"/>
      <family val="1"/>
    </font>
    <font>
      <b/>
      <u/>
      <sz val="11.5"/>
      <color rgb="FFFF0000"/>
      <name val="Times New Roman"/>
      <family val="1"/>
    </font>
    <font>
      <b/>
      <sz val="11"/>
      <color rgb="FFFF0000"/>
      <name val="Times New Roman"/>
      <family val="1"/>
    </font>
    <font>
      <b/>
      <u/>
      <sz val="11"/>
      <color rgb="FFFF33CC"/>
      <name val="Times New Roman"/>
      <family val="1"/>
    </font>
    <font>
      <b/>
      <sz val="11"/>
      <color rgb="FFFF00FF"/>
      <name val="Times New Roman"/>
      <family val="1"/>
    </font>
    <font>
      <b/>
      <sz val="11"/>
      <color theme="1"/>
      <name val="Times New Roman"/>
      <family val="1"/>
    </font>
    <font>
      <sz val="11"/>
      <color rgb="FFFF00FF"/>
      <name val="Times New Roman"/>
      <family val="1"/>
    </font>
    <font>
      <u/>
      <sz val="10"/>
      <color rgb="FFFF0000"/>
      <name val="Times New Roman"/>
      <family val="1"/>
    </font>
    <font>
      <sz val="10"/>
      <color rgb="FF10A028"/>
      <name val="Times New Roman"/>
      <family val="1"/>
    </font>
    <font>
      <sz val="8"/>
      <color theme="0" tint="-0.14999847407452621"/>
      <name val="Times New Roman"/>
      <family val="1"/>
    </font>
    <font>
      <sz val="10"/>
      <color theme="0" tint="-0.14999847407452621"/>
      <name val="Times New Roman"/>
      <family val="1"/>
    </font>
    <font>
      <sz val="10"/>
      <color theme="0" tint="-4.9989318521683403E-2"/>
      <name val="Calibri"/>
      <family val="2"/>
    </font>
    <font>
      <u/>
      <sz val="8"/>
      <color theme="0" tint="-4.9989318521683403E-2"/>
      <name val="Times New Roman"/>
      <family val="1"/>
    </font>
    <font>
      <b/>
      <sz val="11.5"/>
      <color indexed="8"/>
      <name val="Times New Roman"/>
      <family val="1"/>
    </font>
    <font>
      <sz val="10"/>
      <color rgb="FFFFFFFF"/>
      <name val="Times New Roman"/>
      <family val="1"/>
    </font>
    <font>
      <sz val="9"/>
      <color indexed="10"/>
      <name val="Calibri"/>
      <family val="2"/>
    </font>
    <font>
      <u/>
      <sz val="10"/>
      <color indexed="10"/>
      <name val="Times New Roman"/>
      <family val="1"/>
    </font>
    <font>
      <b/>
      <sz val="10"/>
      <color indexed="23"/>
      <name val="Times New Roman"/>
      <family val="1"/>
    </font>
    <font>
      <b/>
      <u/>
      <sz val="24"/>
      <color indexed="8"/>
      <name val="Times New Roman"/>
      <family val="1"/>
    </font>
    <font>
      <sz val="12"/>
      <color indexed="8"/>
      <name val="Calibri"/>
      <family val="2"/>
    </font>
    <font>
      <b/>
      <u/>
      <sz val="18"/>
      <name val="Times New Roman"/>
      <family val="1"/>
    </font>
    <font>
      <sz val="7.5"/>
      <color indexed="8"/>
      <name val="Times New Roman"/>
      <family val="1"/>
    </font>
    <font>
      <b/>
      <sz val="6"/>
      <color indexed="8"/>
      <name val="Times New Roman"/>
      <family val="1"/>
    </font>
    <font>
      <b/>
      <sz val="18"/>
      <color indexed="8"/>
      <name val="Times New Roman"/>
      <family val="1"/>
    </font>
    <font>
      <sz val="11"/>
      <color indexed="8"/>
      <name val="Times New Roman"/>
      <family val="1"/>
    </font>
    <font>
      <b/>
      <sz val="13.5"/>
      <color indexed="8"/>
      <name val="Times New Roman"/>
      <family val="1"/>
    </font>
    <font>
      <sz val="11"/>
      <name val="Arial Unicode MS"/>
      <family val="2"/>
    </font>
    <font>
      <sz val="9"/>
      <color theme="0" tint="-0.249977111117893"/>
      <name val="Times New Roman"/>
      <family val="1"/>
    </font>
    <font>
      <b/>
      <u/>
      <sz val="11"/>
      <color rgb="FF000000"/>
      <name val="Times New Roman"/>
      <family val="1"/>
    </font>
    <font>
      <b/>
      <u/>
      <sz val="20"/>
      <name val="Times New Roman"/>
      <family val="1"/>
    </font>
    <font>
      <b/>
      <u/>
      <sz val="11"/>
      <name val="Times New Roman"/>
      <family val="1"/>
    </font>
    <font>
      <b/>
      <u/>
      <sz val="10"/>
      <color rgb="FFFF00FF"/>
      <name val="Times New Roman"/>
      <family val="1"/>
    </font>
    <font>
      <b/>
      <u/>
      <sz val="12"/>
      <color rgb="FF000000"/>
      <name val="Times New Roman"/>
      <family val="1"/>
    </font>
    <font>
      <b/>
      <u/>
      <sz val="10.6"/>
      <name val="Times New Roman"/>
      <family val="1"/>
    </font>
    <font>
      <sz val="12"/>
      <color theme="1"/>
      <name val="Times New Roman"/>
      <family val="1"/>
    </font>
    <font>
      <sz val="11"/>
      <name val="Calibri"/>
      <family val="2"/>
    </font>
    <font>
      <b/>
      <sz val="15"/>
      <color rgb="FF003366"/>
      <name val="Calibri"/>
      <family val="2"/>
    </font>
    <font>
      <b/>
      <sz val="13"/>
      <color rgb="FF003366"/>
      <name val="Calibri"/>
      <family val="2"/>
    </font>
    <font>
      <u/>
      <sz val="11"/>
      <color rgb="FF0000FF"/>
      <name val="Times New Roman"/>
      <family val="1"/>
    </font>
    <font>
      <b/>
      <sz val="13"/>
      <color theme="1"/>
      <name val="Times New Roman"/>
      <family val="1"/>
    </font>
    <font>
      <b/>
      <sz val="13"/>
      <color indexed="8"/>
      <name val="Times New Roman"/>
      <family val="1"/>
    </font>
    <font>
      <b/>
      <sz val="11"/>
      <color rgb="FFC45D08"/>
      <name val="Times New Roman"/>
      <family val="1"/>
    </font>
    <font>
      <sz val="11"/>
      <color rgb="FFC45D08"/>
      <name val="Times New Roman"/>
      <family val="1"/>
    </font>
    <font>
      <sz val="11.5"/>
      <color rgb="FFFF0000"/>
      <name val="Times New Roman"/>
      <family val="1"/>
    </font>
    <font>
      <sz val="10"/>
      <color rgb="FF008080"/>
      <name val="Times New Roman"/>
      <family val="1"/>
    </font>
    <font>
      <sz val="10"/>
      <color theme="6" tint="-0.499984740745262"/>
      <name val="Times New Roman"/>
      <family val="1"/>
    </font>
    <font>
      <sz val="10"/>
      <color rgb="FF974807"/>
      <name val="Times New Roman"/>
      <family val="1"/>
    </font>
    <font>
      <sz val="10"/>
      <color rgb="FFC45D08"/>
      <name val="Times New Roman"/>
      <family val="1"/>
    </font>
    <font>
      <sz val="14"/>
      <color theme="0"/>
      <name val="Times New Roman"/>
      <family val="1"/>
    </font>
    <font>
      <sz val="7"/>
      <color indexed="55"/>
      <name val="Times New Roman"/>
      <family val="1"/>
    </font>
    <font>
      <sz val="7"/>
      <color theme="0" tint="-0.249977111117893"/>
      <name val="Times New Roman"/>
      <family val="1"/>
    </font>
    <font>
      <b/>
      <sz val="12"/>
      <color theme="7" tint="-0.249977111117893"/>
      <name val="Times New Roman"/>
      <family val="1"/>
    </font>
    <font>
      <sz val="6"/>
      <color rgb="FF808080"/>
      <name val="Times New Roman"/>
      <family val="1"/>
    </font>
    <font>
      <u/>
      <sz val="6"/>
      <color rgb="FF0000FF"/>
      <name val="Times New Roman"/>
      <family val="1"/>
    </font>
    <font>
      <sz val="6"/>
      <color rgb="FF969696"/>
      <name val="Times New Roman"/>
      <family val="1"/>
    </font>
    <font>
      <sz val="12"/>
      <color theme="0" tint="-4.9989318521683403E-2"/>
      <name val="Times New Roman"/>
      <family val="1"/>
    </font>
    <font>
      <b/>
      <u/>
      <sz val="10"/>
      <color indexed="8"/>
      <name val="Microsoft YaHei UI"/>
      <family val="2"/>
    </font>
    <font>
      <b/>
      <sz val="10"/>
      <color theme="9" tint="-0.249977111117893"/>
      <name val="Times New Roman"/>
      <family val="1"/>
    </font>
    <font>
      <u/>
      <sz val="6"/>
      <color indexed="12"/>
      <name val="Times New Roman"/>
      <family val="1"/>
    </font>
    <font>
      <u/>
      <sz val="10"/>
      <color theme="0" tint="-0.499984740745262"/>
      <name val="Times New Roman"/>
      <family val="1"/>
    </font>
    <font>
      <b/>
      <sz val="10"/>
      <color theme="1"/>
      <name val="Times New Roman"/>
      <family val="1"/>
    </font>
    <font>
      <b/>
      <sz val="9"/>
      <name val="Times New Roman"/>
      <family val="1"/>
    </font>
    <font>
      <b/>
      <sz val="8"/>
      <name val="Times New Roman"/>
      <family val="1"/>
    </font>
    <font>
      <sz val="7"/>
      <name val="Times New Roman"/>
      <family val="1"/>
    </font>
    <font>
      <b/>
      <sz val="11"/>
      <color theme="9" tint="-0.249977111117893"/>
      <name val="Times New Roman"/>
      <family val="1"/>
    </font>
    <font>
      <sz val="11"/>
      <color rgb="FFFF9900"/>
      <name val="Times New Roman"/>
      <family val="1"/>
    </font>
    <font>
      <sz val="10"/>
      <color rgb="FFFF9900"/>
      <name val="Times New Roman"/>
      <family val="1"/>
    </font>
    <font>
      <sz val="8"/>
      <color rgb="FF000000"/>
      <name val="Times New Roman"/>
      <family val="1"/>
    </font>
    <font>
      <sz val="10"/>
      <color rgb="FFFFFF99"/>
      <name val="Times New Roman"/>
      <family val="1"/>
    </font>
    <font>
      <sz val="8"/>
      <color rgb="FFCCFFFF"/>
      <name val="Times New Roman"/>
      <family val="1"/>
    </font>
    <font>
      <b/>
      <u/>
      <sz val="16"/>
      <color rgb="FF000000"/>
      <name val="Times New Roman"/>
      <family val="1"/>
    </font>
    <font>
      <b/>
      <u/>
      <sz val="11.5"/>
      <color rgb="FF7030A0"/>
      <name val="Times New Roman"/>
      <family val="1"/>
    </font>
    <font>
      <b/>
      <u/>
      <sz val="11"/>
      <color rgb="FF7030A0"/>
      <name val="Times New Roman"/>
      <family val="1"/>
    </font>
    <font>
      <sz val="9"/>
      <color theme="1" tint="0.34998626667073579"/>
      <name val="Times New Roman"/>
      <family val="1"/>
    </font>
    <font>
      <sz val="10"/>
      <color theme="1" tint="0.34998626667073579"/>
      <name val="Times New Roman"/>
      <family val="1"/>
    </font>
    <font>
      <sz val="8"/>
      <color theme="1" tint="0.34998626667073579"/>
      <name val="Times New Roman"/>
      <family val="1"/>
    </font>
    <font>
      <b/>
      <sz val="11"/>
      <color theme="9" tint="-0.499984740745262"/>
      <name val="Times New Roman"/>
      <family val="1"/>
    </font>
    <font>
      <b/>
      <u/>
      <sz val="9.5"/>
      <color rgb="FFFF00FF"/>
      <name val="Times New Roman"/>
      <family val="1"/>
    </font>
    <font>
      <b/>
      <sz val="10"/>
      <color theme="9" tint="-0.499984740745262"/>
      <name val="Times New Roman"/>
      <family val="1"/>
    </font>
    <font>
      <sz val="9"/>
      <color theme="9" tint="-0.499984740745262"/>
      <name val="Times New Roman"/>
      <family val="1"/>
    </font>
    <font>
      <sz val="10.5"/>
      <color theme="0"/>
      <name val="Times New Roman"/>
      <family val="1"/>
    </font>
    <font>
      <b/>
      <u/>
      <sz val="13"/>
      <color indexed="8"/>
      <name val="Times New Roman"/>
      <family val="1"/>
    </font>
    <font>
      <sz val="10"/>
      <color theme="3" tint="0.39997558519241921"/>
      <name val="Times New Roman"/>
      <family val="1"/>
    </font>
    <font>
      <b/>
      <sz val="10"/>
      <color theme="3" tint="0.39997558519241921"/>
      <name val="Times New Roman"/>
      <family val="1"/>
    </font>
    <font>
      <u/>
      <sz val="10"/>
      <color theme="1"/>
      <name val="Times New Roman"/>
      <family val="1"/>
    </font>
    <font>
      <u/>
      <sz val="9"/>
      <color theme="1"/>
      <name val="Times New Roman"/>
      <family val="1"/>
    </font>
    <font>
      <b/>
      <sz val="10"/>
      <color rgb="FFE46D0A"/>
      <name val="Times New Roman"/>
      <family val="1"/>
    </font>
    <font>
      <sz val="10"/>
      <color rgb="FFE46D0A"/>
      <name val="Times New Roman"/>
      <family val="1"/>
    </font>
    <font>
      <b/>
      <sz val="10"/>
      <color rgb="FF974807"/>
      <name val="Times New Roman"/>
      <family val="1"/>
    </font>
    <font>
      <b/>
      <sz val="10"/>
      <color theme="0"/>
      <name val="Times New Roman"/>
      <family val="1"/>
    </font>
    <font>
      <sz val="10"/>
      <color rgb="FFCCFFFF"/>
      <name val="Times New Roman"/>
      <family val="1"/>
    </font>
    <font>
      <sz val="11.5"/>
      <color theme="0"/>
      <name val="Times New Roman"/>
      <family val="1"/>
    </font>
    <font>
      <sz val="11"/>
      <color rgb="FFFFFF99"/>
      <name val="Times New Roman"/>
      <family val="1"/>
    </font>
  </fonts>
  <fills count="89">
    <fill>
      <patternFill patternType="none"/>
    </fill>
    <fill>
      <patternFill patternType="gray125"/>
    </fill>
    <fill>
      <patternFill patternType="solid">
        <fgColor theme="0"/>
        <bgColor indexed="26"/>
      </patternFill>
    </fill>
    <fill>
      <patternFill patternType="solid">
        <fgColor indexed="65"/>
        <bgColor indexed="26"/>
      </patternFill>
    </fill>
    <fill>
      <patternFill patternType="solid">
        <fgColor theme="0"/>
        <bgColor indexed="64"/>
      </patternFill>
    </fill>
    <fill>
      <patternFill patternType="solid">
        <fgColor indexed="43"/>
        <bgColor indexed="26"/>
      </patternFill>
    </fill>
    <fill>
      <patternFill patternType="solid">
        <fgColor rgb="FFFFFF99"/>
        <bgColor indexed="26"/>
      </patternFill>
    </fill>
    <fill>
      <patternFill patternType="solid">
        <fgColor indexed="27"/>
        <bgColor indexed="27"/>
      </patternFill>
    </fill>
    <fill>
      <patternFill patternType="solid">
        <fgColor indexed="41"/>
        <bgColor indexed="26"/>
      </patternFill>
    </fill>
    <fill>
      <patternFill patternType="solid">
        <fgColor rgb="FFCCFFFF"/>
        <bgColor indexed="26"/>
      </patternFill>
    </fill>
    <fill>
      <patternFill patternType="solid">
        <fgColor indexed="65"/>
        <bgColor indexed="64"/>
      </patternFill>
    </fill>
    <fill>
      <patternFill patternType="solid">
        <fgColor indexed="52"/>
        <bgColor indexed="51"/>
      </patternFill>
    </fill>
    <fill>
      <patternFill patternType="solid">
        <fgColor theme="0" tint="-4.9989318521683403E-2"/>
        <bgColor indexed="64"/>
      </patternFill>
    </fill>
    <fill>
      <patternFill patternType="solid">
        <fgColor indexed="43"/>
        <bgColor indexed="64"/>
      </patternFill>
    </fill>
    <fill>
      <patternFill patternType="solid">
        <fgColor indexed="9"/>
        <bgColor indexed="64"/>
      </patternFill>
    </fill>
    <fill>
      <patternFill patternType="solid">
        <fgColor rgb="FFCCFFFF"/>
        <bgColor indexed="27"/>
      </patternFill>
    </fill>
    <fill>
      <patternFill patternType="solid">
        <fgColor rgb="FFFFFF99"/>
        <bgColor indexed="64"/>
      </patternFill>
    </fill>
    <fill>
      <patternFill patternType="solid">
        <fgColor indexed="45"/>
        <bgColor indexed="29"/>
      </patternFill>
    </fill>
    <fill>
      <patternFill patternType="solid">
        <fgColor rgb="FFCCFFFF"/>
        <bgColor indexed="64"/>
      </patternFill>
    </fill>
    <fill>
      <patternFill patternType="solid">
        <fgColor indexed="31"/>
        <bgColor indexed="22"/>
      </patternFill>
    </fill>
    <fill>
      <patternFill patternType="solid">
        <fgColor indexed="31"/>
        <bgColor indexed="64"/>
      </patternFill>
    </fill>
    <fill>
      <patternFill patternType="solid">
        <fgColor indexed="45"/>
        <bgColor indexed="64"/>
      </patternFill>
    </fill>
    <fill>
      <patternFill patternType="solid">
        <fgColor indexed="42"/>
        <bgColor indexed="27"/>
      </patternFill>
    </fill>
    <fill>
      <patternFill patternType="solid">
        <fgColor indexed="42"/>
        <bgColor indexed="64"/>
      </patternFill>
    </fill>
    <fill>
      <patternFill patternType="solid">
        <fgColor indexed="46"/>
        <bgColor indexed="24"/>
      </patternFill>
    </fill>
    <fill>
      <patternFill patternType="solid">
        <fgColor indexed="46"/>
        <bgColor indexed="64"/>
      </patternFill>
    </fill>
    <fill>
      <patternFill patternType="solid">
        <fgColor indexed="27"/>
        <bgColor indexed="64"/>
      </patternFill>
    </fill>
    <fill>
      <patternFill patternType="solid">
        <fgColor indexed="47"/>
        <bgColor indexed="22"/>
      </patternFill>
    </fill>
    <fill>
      <patternFill patternType="solid">
        <fgColor indexed="47"/>
        <bgColor indexed="64"/>
      </patternFill>
    </fill>
    <fill>
      <patternFill patternType="solid">
        <fgColor indexed="44"/>
        <bgColor indexed="31"/>
      </patternFill>
    </fill>
    <fill>
      <patternFill patternType="solid">
        <fgColor indexed="44"/>
        <bgColor indexed="64"/>
      </patternFill>
    </fill>
    <fill>
      <patternFill patternType="solid">
        <fgColor indexed="29"/>
        <bgColor indexed="45"/>
      </patternFill>
    </fill>
    <fill>
      <patternFill patternType="solid">
        <fgColor indexed="29"/>
        <bgColor indexed="64"/>
      </patternFill>
    </fill>
    <fill>
      <patternFill patternType="solid">
        <fgColor indexed="11"/>
        <bgColor indexed="49"/>
      </patternFill>
    </fill>
    <fill>
      <patternFill patternType="solid">
        <fgColor indexed="11"/>
        <bgColor indexed="64"/>
      </patternFill>
    </fill>
    <fill>
      <patternFill patternType="solid">
        <fgColor indexed="51"/>
        <bgColor indexed="13"/>
      </patternFill>
    </fill>
    <fill>
      <patternFill patternType="solid">
        <fgColor indexed="51"/>
        <bgColor indexed="64"/>
      </patternFill>
    </fill>
    <fill>
      <patternFill patternType="solid">
        <fgColor indexed="22"/>
        <bgColor indexed="64"/>
      </patternFill>
    </fill>
    <fill>
      <patternFill patternType="solid">
        <fgColor indexed="26"/>
      </patternFill>
    </fill>
    <fill>
      <patternFill patternType="solid">
        <fgColor indexed="26"/>
        <bgColor indexed="64"/>
      </patternFill>
    </fill>
    <fill>
      <patternFill patternType="solid">
        <fgColor rgb="FFFFFF99"/>
        <bgColor indexed="27"/>
      </patternFill>
    </fill>
    <fill>
      <patternFill patternType="solid">
        <fgColor indexed="52"/>
        <bgColor indexed="64"/>
      </patternFill>
    </fill>
    <fill>
      <patternFill patternType="solid">
        <fgColor theme="0" tint="-4.9989318521683403E-2"/>
        <bgColor indexed="31"/>
      </patternFill>
    </fill>
    <fill>
      <patternFill patternType="solid">
        <fgColor indexed="10"/>
        <bgColor indexed="60"/>
      </patternFill>
    </fill>
    <fill>
      <patternFill patternType="solid">
        <fgColor indexed="25"/>
        <bgColor indexed="25"/>
      </patternFill>
    </fill>
    <fill>
      <patternFill patternType="solid">
        <fgColor indexed="9"/>
        <bgColor indexed="26"/>
      </patternFill>
    </fill>
    <fill>
      <patternFill patternType="solid">
        <fgColor rgb="FFFFFFFF"/>
        <bgColor indexed="64"/>
      </patternFill>
    </fill>
    <fill>
      <patternFill patternType="solid">
        <fgColor theme="0"/>
        <bgColor indexed="31"/>
      </patternFill>
    </fill>
    <fill>
      <patternFill patternType="solid">
        <fgColor rgb="FFFFFF99"/>
        <bgColor indexed="31"/>
      </patternFill>
    </fill>
    <fill>
      <patternFill patternType="solid">
        <fgColor rgb="FFFFCC99"/>
        <bgColor indexed="51"/>
      </patternFill>
    </fill>
    <fill>
      <patternFill patternType="solid">
        <fgColor rgb="FFFFCC99"/>
        <bgColor indexed="22"/>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theme="0" tint="-0.14999847407452621"/>
        <bgColor indexed="64"/>
      </patternFill>
    </fill>
    <fill>
      <patternFill patternType="solid">
        <fgColor rgb="FFFDF7DF"/>
        <bgColor indexed="26"/>
      </patternFill>
    </fill>
    <fill>
      <patternFill patternType="solid">
        <fgColor rgb="FFFDF7DF"/>
        <bgColor indexed="64"/>
      </patternFill>
    </fill>
    <fill>
      <patternFill patternType="solid">
        <fgColor rgb="FFFFFF00"/>
        <bgColor indexed="64"/>
      </patternFill>
    </fill>
    <fill>
      <patternFill patternType="solid">
        <fgColor rgb="FFFFFFFF"/>
        <bgColor indexed="26"/>
      </patternFill>
    </fill>
    <fill>
      <patternFill patternType="solid">
        <fgColor rgb="FFFFFFFF"/>
        <bgColor rgb="FFFFFFFF"/>
      </patternFill>
    </fill>
    <fill>
      <patternFill patternType="solid">
        <fgColor theme="0"/>
        <bgColor indexed="8"/>
      </patternFill>
    </fill>
    <fill>
      <patternFill patternType="solid">
        <fgColor theme="0" tint="-4.9989318521683403E-2"/>
        <bgColor indexed="26"/>
      </patternFill>
    </fill>
    <fill>
      <patternFill patternType="solid">
        <fgColor rgb="FFFFFF99"/>
        <bgColor rgb="FFFFFFFF"/>
      </patternFill>
    </fill>
    <fill>
      <patternFill patternType="solid">
        <fgColor indexed="41"/>
        <bgColor indexed="64"/>
      </patternFill>
    </fill>
    <fill>
      <patternFill patternType="solid">
        <fgColor rgb="FFCCFFFF"/>
        <bgColor rgb="FFFFFFFF"/>
      </patternFill>
    </fill>
    <fill>
      <patternFill patternType="solid">
        <fgColor rgb="FF00FF00"/>
        <bgColor rgb="FFFFFFFF"/>
      </patternFill>
    </fill>
    <fill>
      <patternFill patternType="solid">
        <fgColor rgb="FFFFCC00"/>
        <bgColor rgb="FFFFFFFF"/>
      </patternFill>
    </fill>
    <fill>
      <patternFill patternType="solid">
        <fgColor rgb="FFFF0000"/>
        <bgColor rgb="FFFFFFFF"/>
      </patternFill>
    </fill>
    <fill>
      <patternFill patternType="solid">
        <fgColor indexed="15"/>
        <bgColor indexed="15"/>
      </patternFill>
    </fill>
    <fill>
      <patternFill patternType="solid">
        <fgColor theme="0"/>
        <bgColor indexed="22"/>
      </patternFill>
    </fill>
    <fill>
      <patternFill patternType="solid">
        <fgColor rgb="FF00FFFF"/>
        <bgColor indexed="15"/>
      </patternFill>
    </fill>
    <fill>
      <patternFill patternType="solid">
        <fgColor rgb="FF00FFFF"/>
        <bgColor indexed="64"/>
      </patternFill>
    </fill>
    <fill>
      <patternFill patternType="solid">
        <fgColor rgb="FFCCCCFF"/>
        <bgColor rgb="FFFFFFFF"/>
      </patternFill>
    </fill>
    <fill>
      <patternFill patternType="solid">
        <fgColor rgb="FFFF99CC"/>
        <bgColor rgb="FFFFFFFF"/>
      </patternFill>
    </fill>
    <fill>
      <patternFill patternType="solid">
        <fgColor rgb="FFCCFFCC"/>
        <bgColor rgb="FFFFFFFF"/>
      </patternFill>
    </fill>
    <fill>
      <patternFill patternType="solid">
        <fgColor rgb="FFCC99FF"/>
        <bgColor rgb="FFFFFFFF"/>
      </patternFill>
    </fill>
    <fill>
      <patternFill patternType="solid">
        <fgColor rgb="FFFFCC99"/>
        <bgColor rgb="FFFFFFFF"/>
      </patternFill>
    </fill>
    <fill>
      <patternFill patternType="solid">
        <fgColor rgb="FF99CCFF"/>
        <bgColor rgb="FFFFFFFF"/>
      </patternFill>
    </fill>
    <fill>
      <patternFill patternType="solid">
        <fgColor rgb="FFFF8080"/>
        <bgColor rgb="FFFFFFFF"/>
      </patternFill>
    </fill>
    <fill>
      <patternFill patternType="solid">
        <fgColor theme="7" tint="0.79998168889431442"/>
        <bgColor indexed="64"/>
      </patternFill>
    </fill>
    <fill>
      <patternFill patternType="solid">
        <fgColor rgb="FFFF9900"/>
        <bgColor indexed="51"/>
      </patternFill>
    </fill>
    <fill>
      <patternFill patternType="solid">
        <fgColor rgb="FFFF9900"/>
        <bgColor indexed="64"/>
      </patternFill>
    </fill>
    <fill>
      <patternFill patternType="solid">
        <fgColor rgb="FFCCFFFF"/>
        <bgColor indexed="31"/>
      </patternFill>
    </fill>
    <fill>
      <patternFill patternType="solid">
        <fgColor theme="0"/>
        <bgColor indexed="52"/>
      </patternFill>
    </fill>
  </fills>
  <borders count="768">
    <border>
      <left/>
      <right/>
      <top/>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theme="0" tint="-0.14996795556505021"/>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top/>
      <bottom/>
      <diagonal/>
    </border>
    <border>
      <left/>
      <right style="thin">
        <color theme="0" tint="-0.14996795556505021"/>
      </right>
      <top/>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top/>
      <bottom/>
      <diagonal/>
    </border>
    <border>
      <left style="thin">
        <color indexed="64"/>
      </left>
      <right style="thin">
        <color indexed="64"/>
      </right>
      <top/>
      <bottom/>
      <diagonal/>
    </border>
    <border>
      <left style="thin">
        <color auto="1"/>
      </left>
      <right/>
      <top/>
      <bottom style="thin">
        <color indexed="64"/>
      </bottom>
      <diagonal/>
    </border>
    <border>
      <left/>
      <right/>
      <top/>
      <bottom style="thin">
        <color auto="1"/>
      </bottom>
      <diagonal/>
    </border>
    <border>
      <left style="thin">
        <color theme="1"/>
      </left>
      <right/>
      <top/>
      <bottom style="thin">
        <color indexed="64"/>
      </bottom>
      <diagonal/>
    </border>
    <border>
      <left/>
      <right style="thin">
        <color theme="1"/>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theme="1"/>
      </left>
      <right/>
      <top style="thin">
        <color auto="1"/>
      </top>
      <bottom style="thin">
        <color indexed="64"/>
      </bottom>
      <diagonal/>
    </border>
    <border>
      <left/>
      <right style="thin">
        <color theme="1"/>
      </right>
      <top style="thin">
        <color auto="1"/>
      </top>
      <bottom style="thin">
        <color indexed="64"/>
      </bottom>
      <diagonal/>
    </border>
    <border>
      <left style="thin">
        <color indexed="64"/>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right style="thin">
        <color theme="0" tint="-0.34998626667073579"/>
      </right>
      <top/>
      <bottom style="thin">
        <color theme="0" tint="-0.14996795556505021"/>
      </bottom>
      <diagonal/>
    </border>
    <border>
      <left style="thin">
        <color theme="0" tint="-0.34998626667073579"/>
      </left>
      <right style="thin">
        <color theme="0" tint="-0.34998626667073579"/>
      </right>
      <top/>
      <bottom style="thin">
        <color theme="0" tint="-0.14996795556505021"/>
      </bottom>
      <diagonal/>
    </border>
    <border>
      <left style="thin">
        <color theme="0" tint="-0.34998626667073579"/>
      </left>
      <right/>
      <top/>
      <bottom style="thin">
        <color theme="0" tint="-0.14996795556505021"/>
      </bottom>
      <diagonal/>
    </border>
    <border>
      <left/>
      <right style="thin">
        <color indexed="64"/>
      </right>
      <top/>
      <bottom style="thin">
        <color theme="0" tint="-0.14996795556505021"/>
      </bottom>
      <diagonal/>
    </border>
    <border>
      <left style="thin">
        <color theme="1"/>
      </left>
      <right/>
      <top/>
      <bottom/>
      <diagonal/>
    </border>
    <border>
      <left/>
      <right style="thin">
        <color theme="1"/>
      </right>
      <top/>
      <bottom/>
      <diagonal/>
    </border>
    <border>
      <left style="thin">
        <color indexed="64"/>
      </left>
      <right style="thin">
        <color indexed="64"/>
      </right>
      <top style="thin">
        <color theme="0" tint="-0.14996795556505021"/>
      </top>
      <bottom/>
      <diagonal/>
    </border>
    <border>
      <left style="thin">
        <color auto="1"/>
      </left>
      <right/>
      <top style="thin">
        <color theme="0" tint="-0.14996795556505021"/>
      </top>
      <bottom/>
      <diagonal/>
    </border>
    <border>
      <left/>
      <right/>
      <top style="thin">
        <color theme="0" tint="-0.14996795556505021"/>
      </top>
      <bottom/>
      <diagonal/>
    </border>
    <border>
      <left style="thin">
        <color theme="1"/>
      </left>
      <right/>
      <top style="thin">
        <color theme="0" tint="-0.14996795556505021"/>
      </top>
      <bottom/>
      <diagonal/>
    </border>
    <border>
      <left/>
      <right style="thin">
        <color theme="1"/>
      </right>
      <top style="thin">
        <color theme="0" tint="-0.14996795556505021"/>
      </top>
      <bottom/>
      <diagonal/>
    </border>
    <border>
      <left/>
      <right style="thin">
        <color indexed="64"/>
      </right>
      <top style="thin">
        <color theme="0" tint="-0.14996795556505021"/>
      </top>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theme="0" tint="-0.34998626667073579"/>
      </right>
      <top style="thin">
        <color auto="1"/>
      </top>
      <bottom/>
      <diagonal/>
    </border>
    <border>
      <left style="thin">
        <color theme="0" tint="-0.34998626667073579"/>
      </left>
      <right style="thin">
        <color theme="0" tint="-0.34998626667073579"/>
      </right>
      <top style="thin">
        <color indexed="64"/>
      </top>
      <bottom/>
      <diagonal/>
    </border>
    <border>
      <left style="thin">
        <color auto="1"/>
      </left>
      <right style="thin">
        <color theme="0" tint="-0.34998626667073579"/>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14996795556505021"/>
      </right>
      <top/>
      <bottom style="thin">
        <color theme="0" tint="-0.34998626667073579"/>
      </bottom>
      <diagonal/>
    </border>
    <border>
      <left style="thin">
        <color theme="0" tint="-0.34998626667073579"/>
      </left>
      <right style="thin">
        <color theme="0" tint="-0.14996795556505021"/>
      </right>
      <top/>
      <bottom/>
      <diagonal/>
    </border>
    <border>
      <left style="thin">
        <color theme="0" tint="-0.14996795556505021"/>
      </left>
      <right style="thin">
        <color indexed="64"/>
      </right>
      <top/>
      <bottom/>
      <diagonal/>
    </border>
    <border>
      <left style="thin">
        <color theme="0" tint="-0.34998626667073579"/>
      </left>
      <right style="thin">
        <color theme="0" tint="-0.34998626667073579"/>
      </right>
      <top style="thin">
        <color theme="0" tint="-0.14996795556505021"/>
      </top>
      <bottom style="thin">
        <color theme="0" tint="-0.14996795556505021"/>
      </bottom>
      <diagonal/>
    </border>
    <border>
      <left style="thin">
        <color indexed="64"/>
      </left>
      <right style="thin">
        <color theme="0" tint="-0.14996795556505021"/>
      </right>
      <top/>
      <bottom style="thin">
        <color indexed="64"/>
      </bottom>
      <diagonal/>
    </border>
    <border>
      <left style="thin">
        <color theme="0" tint="-0.14996795556505021"/>
      </left>
      <right style="thin">
        <color indexed="64"/>
      </right>
      <top/>
      <bottom style="thin">
        <color indexed="64"/>
      </bottom>
      <diagonal/>
    </border>
    <border>
      <left style="thin">
        <color theme="0" tint="-0.34998626667073579"/>
      </left>
      <right style="thin">
        <color theme="0" tint="-0.34998626667073579"/>
      </right>
      <top/>
      <bottom style="thin">
        <color indexed="64"/>
      </bottom>
      <diagonal/>
    </border>
    <border>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auto="1"/>
      </top>
      <bottom style="thin">
        <color theme="0" tint="-0.14996795556505021"/>
      </bottom>
      <diagonal/>
    </border>
    <border>
      <left style="thin">
        <color indexed="64"/>
      </left>
      <right/>
      <top style="thin">
        <color auto="1"/>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theme="0" tint="-0.14996795556505021"/>
      </bottom>
      <diagonal/>
    </border>
    <border>
      <left style="thin">
        <color theme="0" tint="-0.34998626667073579"/>
      </left>
      <right style="thin">
        <color theme="0" tint="-0.34998626667073579"/>
      </right>
      <top style="thin">
        <color theme="0" tint="-0.14996795556505021"/>
      </top>
      <bottom/>
      <diagonal/>
    </border>
    <border>
      <left style="thin">
        <color auto="1"/>
      </left>
      <right style="thin">
        <color theme="0" tint="-0.34998626667073579"/>
      </right>
      <top style="thin">
        <color theme="0" tint="-0.14996795556505021"/>
      </top>
      <bottom style="thin">
        <color theme="0" tint="-0.14996795556505021"/>
      </bottom>
      <diagonal/>
    </border>
    <border>
      <left/>
      <right style="thin">
        <color theme="0" tint="-0.34998626667073579"/>
      </right>
      <top style="thin">
        <color theme="0" tint="-0.14996795556505021"/>
      </top>
      <bottom style="thin">
        <color theme="0" tint="-0.14996795556505021"/>
      </bottom>
      <diagonal/>
    </border>
    <border>
      <left style="thin">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14996795556505021"/>
      </right>
      <top style="thin">
        <color theme="0" tint="-0.34998626667073579"/>
      </top>
      <bottom/>
      <diagonal/>
    </border>
    <border>
      <left style="thin">
        <color indexed="64"/>
      </left>
      <right style="thin">
        <color theme="0" tint="-0.34998626667073579"/>
      </right>
      <top/>
      <bottom style="thin">
        <color theme="0" tint="-0.14996795556505021"/>
      </bottom>
      <diagonal/>
    </border>
    <border>
      <left style="thin">
        <color indexed="64"/>
      </left>
      <right style="thin">
        <color theme="0" tint="-0.34998626667073579"/>
      </right>
      <top/>
      <bottom/>
      <diagonal/>
    </border>
    <border>
      <left style="thin">
        <color theme="0" tint="-0.34998626667073579"/>
      </left>
      <right style="thin">
        <color theme="0" tint="-0.34998626667073579"/>
      </right>
      <top/>
      <bottom style="thin">
        <color theme="0" tint="-0.14993743705557422"/>
      </bottom>
      <diagonal/>
    </border>
    <border>
      <left style="thin">
        <color theme="0" tint="-0.34998626667073579"/>
      </left>
      <right style="thin">
        <color theme="0" tint="-0.34998626667073579"/>
      </right>
      <top style="thin">
        <color theme="0" tint="-0.14993743705557422"/>
      </top>
      <bottom style="thin">
        <color theme="0" tint="-0.14993743705557422"/>
      </bottom>
      <diagonal/>
    </border>
    <border>
      <left style="thin">
        <color auto="1"/>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theme="0" tint="-0.34998626667073579"/>
      </top>
      <bottom/>
      <diagonal/>
    </border>
    <border>
      <left style="thin">
        <color auto="1"/>
      </left>
      <right style="thin">
        <color indexed="64"/>
      </right>
      <top/>
      <bottom style="thin">
        <color theme="0" tint="-0.34998626667073579"/>
      </bottom>
      <diagonal/>
    </border>
    <border>
      <left style="thin">
        <color theme="0" tint="-0.34998626667073579"/>
      </left>
      <right style="thin">
        <color theme="0" tint="-0.34998626667073579"/>
      </right>
      <top style="thin">
        <color theme="0" tint="-0.14993743705557422"/>
      </top>
      <bottom style="thin">
        <color theme="0" tint="-0.34998626667073579"/>
      </bottom>
      <diagonal/>
    </border>
    <border>
      <left style="thin">
        <color auto="1"/>
      </left>
      <right/>
      <top/>
      <bottom style="thin">
        <color theme="0" tint="-0.34998626667073579"/>
      </bottom>
      <diagonal/>
    </border>
    <border>
      <left/>
      <right style="thin">
        <color indexed="64"/>
      </right>
      <top style="thin">
        <color theme="0" tint="-0.14996795556505021"/>
      </top>
      <bottom style="thin">
        <color indexed="64"/>
      </bottom>
      <diagonal/>
    </border>
    <border>
      <left style="thin">
        <color auto="1"/>
      </left>
      <right style="thin">
        <color auto="1"/>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theme="0" tint="-0.24994659260841701"/>
      </left>
      <right style="thin">
        <color theme="0" tint="-0.24994659260841701"/>
      </right>
      <top/>
      <bottom/>
      <diagonal/>
    </border>
    <border>
      <left style="thin">
        <color indexed="64"/>
      </left>
      <right style="thin">
        <color indexed="64"/>
      </right>
      <top/>
      <bottom style="thin">
        <color indexed="64"/>
      </bottom>
      <diagonal/>
    </border>
    <border>
      <left style="thin">
        <color theme="0" tint="-0.34998626667073579"/>
      </left>
      <right style="thin">
        <color theme="0" tint="-0.34998626667073579"/>
      </right>
      <top style="thin">
        <color theme="0" tint="-0.14993743705557422"/>
      </top>
      <bottom style="thin">
        <color indexed="64"/>
      </bottom>
      <diagonal/>
    </border>
    <border>
      <left/>
      <right style="thin">
        <color theme="0" tint="-0.34998626667073579"/>
      </right>
      <top/>
      <bottom style="thin">
        <color indexed="64"/>
      </bottom>
      <diagonal/>
    </border>
    <border>
      <left style="thin">
        <color theme="0" tint="-0.14996795556505021"/>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14996795556505021"/>
      </left>
      <right/>
      <top/>
      <bottom style="thin">
        <color auto="1"/>
      </bottom>
      <diagonal/>
    </border>
    <border>
      <left/>
      <right/>
      <top style="thin">
        <color theme="0" tint="-0.14993743705557422"/>
      </top>
      <bottom style="thin">
        <color auto="1"/>
      </bottom>
      <diagonal/>
    </border>
    <border>
      <left/>
      <right style="thin">
        <color auto="1"/>
      </right>
      <top style="thin">
        <color theme="0" tint="-0.14993743705557422"/>
      </top>
      <bottom style="thin">
        <color auto="1"/>
      </bottom>
      <diagonal/>
    </border>
    <border>
      <left style="thin">
        <color theme="0" tint="-0.14993743705557422"/>
      </left>
      <right style="thin">
        <color theme="0" tint="-0.14993743705557422"/>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6795556505021"/>
      </bottom>
      <diagonal/>
    </border>
    <border>
      <left style="thin">
        <color theme="0" tint="-0.14993743705557422"/>
      </left>
      <right/>
      <top style="thin">
        <color theme="0" tint="-0.14993743705557422"/>
      </top>
      <bottom style="thin">
        <color theme="0" tint="-0.14996795556505021"/>
      </bottom>
      <diagonal/>
    </border>
    <border>
      <left style="thin">
        <color theme="0" tint="-0.14993743705557422"/>
      </left>
      <right/>
      <top style="thin">
        <color theme="0" tint="-0.14996795556505021"/>
      </top>
      <bottom style="thin">
        <color theme="0" tint="-0.14996795556505021"/>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style="thin">
        <color indexed="64"/>
      </right>
      <top/>
      <bottom style="thin">
        <color theme="0" tint="-0.14990691854609822"/>
      </bottom>
      <diagonal/>
    </border>
    <border>
      <left style="thin">
        <color theme="0" tint="-0.14993743705557422"/>
      </left>
      <right style="thin">
        <color theme="0" tint="-0.14993743705557422"/>
      </right>
      <top style="thin">
        <color theme="0" tint="-0.14996795556505021"/>
      </top>
      <bottom style="thin">
        <color theme="0" tint="-0.14990691854609822"/>
      </bottom>
      <diagonal/>
    </border>
    <border>
      <left style="thin">
        <color theme="0" tint="-0.14993743705557422"/>
      </left>
      <right/>
      <top style="thin">
        <color theme="0" tint="-0.14996795556505021"/>
      </top>
      <bottom style="thin">
        <color theme="0" tint="-0.14990691854609822"/>
      </bottom>
      <diagonal/>
    </border>
    <border>
      <left style="thin">
        <color theme="0" tint="-0.149906918546098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right/>
      <top style="thin">
        <color theme="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0691854609822"/>
      </left>
      <right style="thin">
        <color theme="0" tint="-0.14990691854609822"/>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style="thin">
        <color theme="0" tint="-0.14993743705557422"/>
      </left>
      <right style="thin">
        <color theme="0" tint="-0.14993743705557422"/>
      </right>
      <top style="thin">
        <color theme="0" tint="-0.14996795556505021"/>
      </top>
      <bottom/>
      <diagonal/>
    </border>
    <border>
      <left style="thin">
        <color theme="0" tint="-0.14993743705557422"/>
      </left>
      <right/>
      <top style="thin">
        <color theme="0" tint="-0.14996795556505021"/>
      </top>
      <bottom/>
      <diagonal/>
    </border>
    <border>
      <left style="thin">
        <color theme="0" tint="-0.14990691854609822"/>
      </left>
      <right style="thin">
        <color theme="0" tint="-0.14990691854609822"/>
      </right>
      <top style="thin">
        <color theme="0" tint="-0.14996795556505021"/>
      </top>
      <bottom style="thin">
        <color theme="0" tint="-0.14990691854609822"/>
      </bottom>
      <diagonal/>
    </border>
    <border>
      <left style="thin">
        <color indexed="23"/>
      </left>
      <right style="thin">
        <color indexed="23"/>
      </right>
      <top style="thin">
        <color indexed="23"/>
      </top>
      <bottom style="thin">
        <color indexed="23"/>
      </bottom>
      <diagonal/>
    </border>
    <border>
      <left/>
      <right/>
      <top/>
      <bottom style="medium">
        <color indexed="62"/>
      </bottom>
      <diagonal/>
    </border>
    <border>
      <left/>
      <right/>
      <top/>
      <bottom style="medium">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style="thin">
        <color theme="1"/>
      </right>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theme="0" tint="-0.14996795556505021"/>
      </bottom>
      <diagonal/>
    </border>
    <border>
      <left/>
      <right style="thin">
        <color indexed="64"/>
      </right>
      <top style="thin">
        <color auto="1"/>
      </top>
      <bottom style="thin">
        <color theme="0" tint="-0.14996795556505021"/>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style="thin">
        <color theme="0" tint="-0.14996795556505021"/>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theme="0" tint="-0.14996795556505021"/>
      </bottom>
      <diagonal/>
    </border>
    <border>
      <left style="thin">
        <color theme="0" tint="-0.14996795556505021"/>
      </left>
      <right style="thin">
        <color indexed="64"/>
      </right>
      <top style="thin">
        <color theme="0" tint="-0.14996795556505021"/>
      </top>
      <bottom style="thin">
        <color theme="1"/>
      </bottom>
      <diagonal/>
    </border>
    <border>
      <left style="thin">
        <color theme="0" tint="-0.34998626667073579"/>
      </left>
      <right style="thin">
        <color theme="0" tint="-0.34998626667073579"/>
      </right>
      <top style="thin">
        <color indexed="64"/>
      </top>
      <bottom style="thin">
        <color indexed="64"/>
      </bottom>
      <diagonal/>
    </border>
    <border>
      <left style="thin">
        <color theme="0" tint="-0.14996795556505021"/>
      </left>
      <right style="thin">
        <color auto="1"/>
      </right>
      <top style="thin">
        <color indexed="64"/>
      </top>
      <bottom/>
      <diagonal/>
    </border>
    <border>
      <left style="thin">
        <color indexed="64"/>
      </left>
      <right style="thin">
        <color indexed="64"/>
      </right>
      <top style="thin">
        <color indexed="64"/>
      </top>
      <bottom style="thin">
        <color theme="0" tint="-0.24994659260841701"/>
      </bottom>
      <diagonal/>
    </border>
    <border>
      <left style="thin">
        <color theme="0" tint="-0.34998626667073579"/>
      </left>
      <right style="thin">
        <color theme="0" tint="-0.34998626667073579"/>
      </right>
      <top style="thin">
        <color indexed="64"/>
      </top>
      <bottom style="thin">
        <color theme="0" tint="-0.14993743705557422"/>
      </bottom>
      <diagonal/>
    </border>
    <border>
      <left style="thin">
        <color indexed="64"/>
      </left>
      <right style="thin">
        <color indexed="64"/>
      </right>
      <top style="thin">
        <color theme="0" tint="-0.24994659260841701"/>
      </top>
      <bottom style="thin">
        <color theme="0" tint="-0.24994659260841701"/>
      </bottom>
      <diagonal/>
    </border>
    <border>
      <left style="thin">
        <color theme="0" tint="-0.34998626667073579"/>
      </left>
      <right style="thin">
        <color auto="1"/>
      </right>
      <top style="thin">
        <color indexed="64"/>
      </top>
      <bottom/>
      <diagonal/>
    </border>
    <border>
      <left style="thin">
        <color theme="0" tint="-0.34998626667073579"/>
      </left>
      <right style="thin">
        <color indexed="64"/>
      </right>
      <top/>
      <bottom/>
      <diagonal/>
    </border>
    <border>
      <left style="thin">
        <color indexed="64"/>
      </left>
      <right style="thin">
        <color indexed="64"/>
      </right>
      <top style="thin">
        <color theme="0" tint="-0.24994659260841701"/>
      </top>
      <bottom style="thin">
        <color indexed="64"/>
      </bottom>
      <diagonal/>
    </border>
    <border>
      <left style="thin">
        <color theme="0" tint="-0.34998626667073579"/>
      </left>
      <right style="thin">
        <color theme="0" tint="-0.34998626667073579"/>
      </right>
      <top style="thin">
        <color theme="0" tint="-0.14993743705557422"/>
      </top>
      <bottom/>
      <diagonal/>
    </border>
    <border>
      <left style="thin">
        <color auto="1"/>
      </left>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14993743705557422"/>
      </bottom>
      <diagonal/>
    </border>
    <border>
      <left/>
      <right style="thin">
        <color indexed="64"/>
      </right>
      <top style="thin">
        <color theme="0" tint="-0.34998626667073579"/>
      </top>
      <bottom/>
      <diagonal/>
    </border>
    <border>
      <left style="thin">
        <color indexed="64"/>
      </left>
      <right style="thin">
        <color theme="1" tint="0.499984740745262"/>
      </right>
      <top style="thin">
        <color indexed="64"/>
      </top>
      <bottom style="thin">
        <color indexed="64"/>
      </bottom>
      <diagonal/>
    </border>
    <border>
      <left style="thin">
        <color theme="1" tint="0.499984740745262"/>
      </left>
      <right/>
      <top style="thin">
        <color indexed="64"/>
      </top>
      <bottom style="thin">
        <color indexed="64"/>
      </bottom>
      <diagonal/>
    </border>
    <border>
      <left style="thin">
        <color theme="1"/>
      </left>
      <right/>
      <top style="thin">
        <color theme="0" tint="-0.14996795556505021"/>
      </top>
      <bottom style="thin">
        <color theme="0" tint="-0.14996795556505021"/>
      </bottom>
      <diagonal/>
    </border>
    <border>
      <left style="thin">
        <color indexed="64"/>
      </left>
      <right style="thin">
        <color theme="0" tint="-0.24994659260841701"/>
      </right>
      <top style="thin">
        <color indexed="64"/>
      </top>
      <bottom style="thin">
        <color indexed="64"/>
      </bottom>
      <diagonal/>
    </border>
    <border>
      <left style="thin">
        <color theme="0" tint="-0.14996795556505021"/>
      </left>
      <right/>
      <top style="thin">
        <color indexed="64"/>
      </top>
      <bottom style="thin">
        <color auto="1"/>
      </bottom>
      <diagonal/>
    </border>
    <border>
      <left style="thin">
        <color indexed="22"/>
      </left>
      <right/>
      <top/>
      <bottom/>
      <diagonal/>
    </border>
    <border>
      <left style="thin">
        <color indexed="64"/>
      </left>
      <right/>
      <top/>
      <bottom/>
      <diagonal/>
    </border>
    <border>
      <left/>
      <right style="thin">
        <color theme="0" tint="-0.14996795556505021"/>
      </right>
      <top/>
      <bottom style="thin">
        <color indexed="64"/>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style="thin">
        <color indexed="64"/>
      </top>
      <bottom/>
      <diagonal/>
    </border>
    <border>
      <left/>
      <right style="thin">
        <color theme="0" tint="-0.24994659260841701"/>
      </right>
      <top/>
      <bottom/>
      <diagonal/>
    </border>
    <border>
      <left style="thin">
        <color theme="0" tint="-0.14996795556505021"/>
      </left>
      <right/>
      <top/>
      <bottom style="thin">
        <color theme="0" tint="-0.14996795556505021"/>
      </bottom>
      <diagonal/>
    </border>
    <border>
      <left style="thin">
        <color indexed="64"/>
      </left>
      <right style="thin">
        <color indexed="64"/>
      </right>
      <top/>
      <bottom/>
      <diagonal/>
    </border>
    <border>
      <left/>
      <right style="thin">
        <color auto="1"/>
      </right>
      <top/>
      <bottom style="thin">
        <color theme="0" tint="-0.14993743705557422"/>
      </bottom>
      <diagonal/>
    </border>
    <border>
      <left/>
      <right style="thin">
        <color theme="0" tint="-0.14993743705557422"/>
      </right>
      <top style="thin">
        <color theme="0" tint="-0.14996795556505021"/>
      </top>
      <bottom style="thin">
        <color theme="0" tint="-0.1499679555650502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theme="0" tint="-0.14996795556505021"/>
      </left>
      <right style="thin">
        <color indexed="64"/>
      </right>
      <top style="thin">
        <color indexed="64"/>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theme="0" tint="-0.14996795556505021"/>
      </left>
      <right/>
      <top style="thin">
        <color auto="1"/>
      </top>
      <bottom/>
      <diagonal/>
    </border>
    <border>
      <left/>
      <right/>
      <top style="thin">
        <color theme="0" tint="-0.14996795556505021"/>
      </top>
      <bottom style="thin">
        <color theme="1"/>
      </bottom>
      <diagonal/>
    </border>
    <border>
      <left/>
      <right style="thin">
        <color theme="0" tint="-0.14996795556505021"/>
      </right>
      <top style="thin">
        <color theme="0" tint="-0.14996795556505021"/>
      </top>
      <bottom style="thin">
        <color theme="1"/>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indexed="22"/>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auto="1"/>
      </top>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indexed="64"/>
      </right>
      <top style="thin">
        <color indexed="64"/>
      </top>
      <bottom/>
      <diagonal/>
    </border>
    <border>
      <left/>
      <right/>
      <top style="thin">
        <color auto="1"/>
      </top>
      <bottom style="thin">
        <color auto="1"/>
      </bottom>
      <diagonal/>
    </border>
    <border>
      <left/>
      <right/>
      <top style="thin">
        <color theme="1"/>
      </top>
      <bottom style="thin">
        <color indexed="64"/>
      </bottom>
      <diagonal/>
    </border>
    <border>
      <left style="thin">
        <color auto="1"/>
      </left>
      <right style="thin">
        <color auto="1"/>
      </right>
      <top style="thin">
        <color indexed="64"/>
      </top>
      <bottom style="thin">
        <color theme="0" tint="-0.14996795556505021"/>
      </bottom>
      <diagonal/>
    </border>
    <border>
      <left style="thin">
        <color theme="0" tint="-0.14993743705557422"/>
      </left>
      <right style="thin">
        <color auto="1"/>
      </right>
      <top style="thin">
        <color theme="0" tint="-0.14996795556505021"/>
      </top>
      <bottom style="thin">
        <color theme="0" tint="-0.14996795556505021"/>
      </bottom>
      <diagonal/>
    </border>
    <border>
      <left style="thin">
        <color theme="1"/>
      </left>
      <right style="thin">
        <color theme="1"/>
      </right>
      <top style="thin">
        <color indexed="64"/>
      </top>
      <bottom style="thin">
        <color theme="0" tint="-0.14996795556505021"/>
      </bottom>
      <diagonal/>
    </border>
    <border>
      <left style="thin">
        <color indexed="8"/>
      </left>
      <right/>
      <top/>
      <bottom/>
      <diagonal/>
    </border>
    <border>
      <left style="thin">
        <color theme="1"/>
      </left>
      <right style="thin">
        <color theme="1"/>
      </right>
      <top style="thin">
        <color theme="0" tint="-0.14996795556505021"/>
      </top>
      <bottom style="thin">
        <color theme="0" tint="-0.14996795556505021"/>
      </bottom>
      <diagonal/>
    </border>
    <border>
      <left style="thin">
        <color auto="1"/>
      </left>
      <right style="thin">
        <color theme="0" tint="-0.14996795556505021"/>
      </right>
      <top style="thin">
        <color indexed="64"/>
      </top>
      <bottom style="thin">
        <color indexed="64"/>
      </bottom>
      <diagonal/>
    </border>
    <border>
      <left style="thin">
        <color auto="1"/>
      </left>
      <right style="thin">
        <color indexed="64"/>
      </right>
      <top style="thin">
        <color theme="0" tint="-0.14996795556505021"/>
      </top>
      <bottom style="thin">
        <color theme="0" tint="-0.34998626667073579"/>
      </bottom>
      <diagonal/>
    </border>
    <border>
      <left style="thin">
        <color auto="1"/>
      </left>
      <right style="thin">
        <color auto="1"/>
      </right>
      <top/>
      <bottom/>
      <diagonal/>
    </border>
    <border>
      <left style="thin">
        <color theme="1"/>
      </left>
      <right style="thin">
        <color theme="0" tint="-0.14996795556505021"/>
      </right>
      <top style="thin">
        <color theme="0" tint="-0.14993743705557422"/>
      </top>
      <bottom style="thin">
        <color theme="1"/>
      </bottom>
      <diagonal/>
    </border>
    <border>
      <left style="thin">
        <color indexed="64"/>
      </left>
      <right style="thin">
        <color theme="0" tint="-0.14996795556505021"/>
      </right>
      <top/>
      <bottom/>
      <diagonal/>
    </border>
    <border>
      <left style="thin">
        <color indexed="64"/>
      </left>
      <right style="thin">
        <color theme="0" tint="-0.14996795556505021"/>
      </right>
      <top style="thin">
        <color theme="0" tint="-0.14996795556505021"/>
      </top>
      <bottom/>
      <diagonal/>
    </border>
    <border>
      <left style="thin">
        <color theme="0" tint="-0.14996795556505021"/>
      </left>
      <right/>
      <top style="thin">
        <color auto="1"/>
      </top>
      <bottom/>
      <diagonal/>
    </border>
    <border>
      <left style="thin">
        <color indexed="64"/>
      </left>
      <right style="thin">
        <color theme="0" tint="-0.14996795556505021"/>
      </right>
      <top style="thin">
        <color indexed="64"/>
      </top>
      <bottom/>
      <diagonal/>
    </border>
    <border>
      <left style="thin">
        <color theme="0" tint="-0.14996795556505021"/>
      </left>
      <right style="thin">
        <color indexed="64"/>
      </right>
      <top style="thin">
        <color indexed="64"/>
      </top>
      <bottom/>
      <diagonal/>
    </border>
    <border>
      <left style="thin">
        <color indexed="64"/>
      </left>
      <right/>
      <top style="thin">
        <color theme="0" tint="-0.14993743705557422"/>
      </top>
      <bottom/>
      <diagonal/>
    </border>
    <border>
      <left style="thin">
        <color auto="1"/>
      </left>
      <right style="thin">
        <color theme="0" tint="-0.14996795556505021"/>
      </right>
      <top style="thin">
        <color theme="0" tint="-0.14993743705557422"/>
      </top>
      <bottom/>
      <diagonal/>
    </border>
    <border>
      <left style="thin">
        <color auto="1"/>
      </left>
      <right/>
      <top style="thin">
        <color theme="1"/>
      </top>
      <bottom style="thin">
        <color indexed="64"/>
      </bottom>
      <diagonal/>
    </border>
    <border>
      <left style="thin">
        <color theme="0" tint="-0.14996795556505021"/>
      </left>
      <right/>
      <top style="thin">
        <color theme="1"/>
      </top>
      <bottom style="thin">
        <color indexed="64"/>
      </bottom>
      <diagonal/>
    </border>
    <border>
      <left style="thin">
        <color auto="1"/>
      </left>
      <right style="thin">
        <color theme="0" tint="-0.14996795556505021"/>
      </right>
      <top style="thin">
        <color theme="1"/>
      </top>
      <bottom style="thin">
        <color indexed="64"/>
      </bottom>
      <diagonal/>
    </border>
    <border>
      <left style="thin">
        <color auto="1"/>
      </left>
      <right/>
      <top style="thin">
        <color indexed="64"/>
      </top>
      <bottom style="thin">
        <color theme="0" tint="-0.14993743705557422"/>
      </bottom>
      <diagonal/>
    </border>
    <border>
      <left style="thin">
        <color auto="1"/>
      </left>
      <right style="thin">
        <color indexed="64"/>
      </right>
      <top style="thin">
        <color indexed="64"/>
      </top>
      <bottom style="thin">
        <color theme="0" tint="-0.14993743705557422"/>
      </bottom>
      <diagonal/>
    </border>
    <border>
      <left style="thin">
        <color theme="0" tint="-0.14996795556505021"/>
      </left>
      <right/>
      <top style="thin">
        <color indexed="64"/>
      </top>
      <bottom style="thin">
        <color theme="0" tint="-0.14993743705557422"/>
      </bottom>
      <diagonal/>
    </border>
    <border>
      <left style="thin">
        <color auto="1"/>
      </left>
      <right style="thin">
        <color theme="0" tint="-0.14993743705557422"/>
      </right>
      <top style="thin">
        <color indexed="64"/>
      </top>
      <bottom style="thin">
        <color theme="0" tint="-0.14993743705557422"/>
      </bottom>
      <diagonal/>
    </border>
    <border>
      <left style="thin">
        <color indexed="64"/>
      </left>
      <right/>
      <top style="thin">
        <color theme="0" tint="-0.14993743705557422"/>
      </top>
      <bottom style="thin">
        <color theme="0" tint="-0.14993743705557422"/>
      </bottom>
      <diagonal/>
    </border>
    <border>
      <left style="thin">
        <color auto="1"/>
      </left>
      <right style="thin">
        <color indexed="64"/>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3743705557422"/>
      </bottom>
      <diagonal/>
    </border>
    <border>
      <left style="thin">
        <color auto="1"/>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3743705557422"/>
      </top>
      <bottom/>
      <diagonal/>
    </border>
    <border>
      <left style="thin">
        <color auto="1"/>
      </left>
      <right/>
      <top style="thin">
        <color theme="0" tint="-0.34998626667073579"/>
      </top>
      <bottom style="thin">
        <color theme="0" tint="-0.14996795556505021"/>
      </bottom>
      <diagonal/>
    </border>
    <border>
      <left/>
      <right style="thin">
        <color indexed="64"/>
      </right>
      <top style="thin">
        <color theme="0" tint="-0.34998626667073579"/>
      </top>
      <bottom style="thin">
        <color theme="0" tint="-0.14996795556505021"/>
      </bottom>
      <diagonal/>
    </border>
    <border>
      <left style="thin">
        <color auto="1"/>
      </left>
      <right/>
      <top/>
      <bottom style="thin">
        <color theme="0" tint="-0.14993743705557422"/>
      </bottom>
      <diagonal/>
    </border>
    <border>
      <left style="thin">
        <color indexed="64"/>
      </left>
      <right style="thin">
        <color theme="0" tint="-0.14996795556505021"/>
      </right>
      <top style="thin">
        <color theme="0" tint="-0.34998626667073579"/>
      </top>
      <bottom style="thin">
        <color indexed="64"/>
      </bottom>
      <diagonal/>
    </border>
    <border>
      <left style="thin">
        <color theme="0" tint="-0.14996795556505021"/>
      </left>
      <right/>
      <top style="thin">
        <color theme="0" tint="-0.34998626667073579"/>
      </top>
      <bottom style="thin">
        <color indexed="64"/>
      </bottom>
      <diagonal/>
    </border>
    <border>
      <left style="thin">
        <color indexed="64"/>
      </left>
      <right/>
      <top style="thin">
        <color theme="0" tint="-0.34998626667073579"/>
      </top>
      <bottom style="thin">
        <color indexed="64"/>
      </bottom>
      <diagonal/>
    </border>
    <border>
      <left style="thin">
        <color auto="1"/>
      </left>
      <right style="thin">
        <color indexed="64"/>
      </right>
      <top style="thin">
        <color theme="0" tint="-0.34998626667073579"/>
      </top>
      <bottom style="thin">
        <color indexed="64"/>
      </bottom>
      <diagonal/>
    </border>
    <border>
      <left style="thin">
        <color indexed="64"/>
      </left>
      <right style="thin">
        <color theme="1"/>
      </right>
      <top/>
      <bottom style="thin">
        <color indexed="64"/>
      </bottom>
      <diagonal/>
    </border>
    <border>
      <left style="thin">
        <color theme="0" tint="-0.14996795556505021"/>
      </left>
      <right/>
      <top style="thin">
        <color theme="0" tint="-0.14993743705557422"/>
      </top>
      <bottom style="thin">
        <color auto="1"/>
      </bottom>
      <diagonal/>
    </border>
    <border>
      <left style="thin">
        <color theme="0" tint="-0.14996795556505021"/>
      </left>
      <right style="thin">
        <color indexed="22"/>
      </right>
      <top style="thin">
        <color theme="0" tint="-0.14996795556505021"/>
      </top>
      <bottom style="thin">
        <color theme="0" tint="-0.14996795556505021"/>
      </bottom>
      <diagonal/>
    </border>
    <border>
      <left style="thin">
        <color theme="0" tint="-0.14996795556505021"/>
      </left>
      <right style="thin">
        <color indexed="22"/>
      </right>
      <top/>
      <bottom style="thin">
        <color indexed="64"/>
      </bottom>
      <diagonal/>
    </border>
    <border>
      <left style="thin">
        <color auto="1"/>
      </left>
      <right style="thin">
        <color auto="1"/>
      </right>
      <top/>
      <bottom style="thin">
        <color auto="1"/>
      </bottom>
      <diagonal/>
    </border>
    <border>
      <left style="thin">
        <color auto="1"/>
      </left>
      <right/>
      <top style="thin">
        <color theme="0" tint="-0.14996795556505021"/>
      </top>
      <bottom style="thin">
        <color theme="0" tint="-0.14996795556505021"/>
      </bottom>
      <diagonal/>
    </border>
    <border>
      <left style="thin">
        <color auto="1"/>
      </left>
      <right style="thin">
        <color auto="1"/>
      </right>
      <top style="thin">
        <color theme="0" tint="-0.14996795556505021"/>
      </top>
      <bottom style="thin">
        <color theme="0" tint="-0.14996795556505021"/>
      </bottom>
      <diagonal/>
    </border>
    <border>
      <left style="thin">
        <color theme="1"/>
      </left>
      <right style="thin">
        <color theme="0" tint="-0.14996795556505021"/>
      </right>
      <top style="thin">
        <color indexed="64"/>
      </top>
      <bottom style="thin">
        <color indexed="64"/>
      </bottom>
      <diagonal/>
    </border>
    <border>
      <left style="thin">
        <color theme="0" tint="-0.14996795556505021"/>
      </left>
      <right style="thin">
        <color theme="1"/>
      </right>
      <top style="thin">
        <color indexed="64"/>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auto="1"/>
      </left>
      <right/>
      <top style="thin">
        <color theme="0" tint="-0.14996795556505021"/>
      </top>
      <bottom style="thin">
        <color theme="0" tint="-0.14993743705557422"/>
      </bottom>
      <diagonal/>
    </border>
    <border>
      <left style="thin">
        <color theme="0" tint="-0.14990691854609822"/>
      </left>
      <right style="thin">
        <color indexed="64"/>
      </right>
      <top style="thin">
        <color theme="0" tint="-0.14996795556505021"/>
      </top>
      <bottom style="thin">
        <color theme="0" tint="-0.14996795556505021"/>
      </bottom>
      <diagonal/>
    </border>
    <border>
      <left/>
      <right style="thin">
        <color theme="0" tint="-0.14990691854609822"/>
      </right>
      <top style="thin">
        <color theme="0" tint="-0.14996795556505021"/>
      </top>
      <bottom style="thin">
        <color theme="0" tint="-0.14996795556505021"/>
      </bottom>
      <diagonal/>
    </border>
    <border>
      <left style="thin">
        <color theme="0" tint="-0.14990691854609822"/>
      </left>
      <right style="thin">
        <color indexed="64"/>
      </right>
      <top style="thin">
        <color theme="0" tint="-0.14996795556505021"/>
      </top>
      <bottom/>
      <diagonal/>
    </border>
    <border>
      <left/>
      <right style="thin">
        <color theme="0" tint="-0.14990691854609822"/>
      </right>
      <top style="thin">
        <color theme="0" tint="-0.14996795556505021"/>
      </top>
      <bottom/>
      <diagonal/>
    </border>
    <border>
      <left style="thin">
        <color theme="0" tint="-0.14990691854609822"/>
      </left>
      <right style="thin">
        <color indexed="64"/>
      </right>
      <top style="thin">
        <color theme="0" tint="-0.34998626667073579"/>
      </top>
      <bottom/>
      <diagonal/>
    </border>
    <border>
      <left/>
      <right style="thin">
        <color theme="0" tint="-0.14990691854609822"/>
      </right>
      <top style="thin">
        <color theme="0" tint="-0.34998626667073579"/>
      </top>
      <bottom/>
      <diagonal/>
    </border>
    <border>
      <left style="thin">
        <color auto="1"/>
      </left>
      <right style="thin">
        <color theme="0" tint="-0.14993743705557422"/>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theme="0" tint="-0.14996795556505021"/>
      </left>
      <right style="thin">
        <color indexed="64"/>
      </right>
      <top style="thin">
        <color theme="0" tint="-0.34998626667073579"/>
      </top>
      <bottom style="thin">
        <color indexed="64"/>
      </bottom>
      <diagonal/>
    </border>
    <border>
      <left/>
      <right style="thin">
        <color indexed="64"/>
      </right>
      <top style="thin">
        <color theme="0" tint="-0.34998626667073579"/>
      </top>
      <bottom style="thin">
        <color indexed="64"/>
      </bottom>
      <diagonal/>
    </border>
    <border>
      <left style="thin">
        <color indexed="64"/>
      </left>
      <right/>
      <top style="thin">
        <color indexed="64"/>
      </top>
      <bottom style="thin">
        <color theme="1" tint="0.14996795556505021"/>
      </bottom>
      <diagonal/>
    </border>
    <border>
      <left/>
      <right style="thin">
        <color indexed="64"/>
      </right>
      <top style="thin">
        <color indexed="64"/>
      </top>
      <bottom style="thin">
        <color theme="1" tint="0.14996795556505021"/>
      </bottom>
      <diagonal/>
    </border>
    <border>
      <left style="thin">
        <color indexed="64"/>
      </left>
      <right/>
      <top style="thin">
        <color theme="1" tint="0.14996795556505021"/>
      </top>
      <bottom/>
      <diagonal/>
    </border>
    <border>
      <left style="thin">
        <color theme="1"/>
      </left>
      <right style="thin">
        <color indexed="64"/>
      </right>
      <top style="thin">
        <color theme="1" tint="0.14996795556505021"/>
      </top>
      <bottom/>
      <diagonal/>
    </border>
    <border>
      <left style="thin">
        <color theme="1"/>
      </left>
      <right style="thin">
        <color indexed="64"/>
      </right>
      <top/>
      <bottom/>
      <diagonal/>
    </border>
    <border>
      <left style="thin">
        <color theme="1"/>
      </left>
      <right style="thin">
        <color theme="1"/>
      </right>
      <top/>
      <bottom/>
      <diagonal/>
    </border>
    <border>
      <left style="thin">
        <color theme="1"/>
      </left>
      <right style="thin">
        <color theme="1"/>
      </right>
      <top style="thin">
        <color theme="0" tint="-0.14996795556505021"/>
      </top>
      <bottom/>
      <diagonal/>
    </border>
    <border>
      <left style="thin">
        <color theme="1"/>
      </left>
      <right style="thin">
        <color indexed="64"/>
      </right>
      <top style="thin">
        <color theme="0" tint="-0.14996795556505021"/>
      </top>
      <bottom style="thin">
        <color theme="0" tint="-0.14996795556505021"/>
      </bottom>
      <diagonal/>
    </border>
    <border>
      <left style="thin">
        <color theme="1"/>
      </left>
      <right style="thin">
        <color theme="1"/>
      </right>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0" tint="-0.499984740745262"/>
      </right>
      <top style="thin">
        <color indexed="64"/>
      </top>
      <bottom/>
      <diagonal/>
    </border>
    <border>
      <left style="thin">
        <color theme="0" tint="-0.34998626667073579"/>
      </left>
      <right style="thin">
        <color indexed="64"/>
      </right>
      <top style="thin">
        <color indexed="64"/>
      </top>
      <bottom style="thin">
        <color theme="0" tint="-0.14996795556505021"/>
      </bottom>
      <diagonal/>
    </border>
    <border>
      <left style="thin">
        <color indexed="64"/>
      </left>
      <right style="thin">
        <color theme="0" tint="-0.34998626667073579"/>
      </right>
      <top style="thin">
        <color indexed="64"/>
      </top>
      <bottom style="thin">
        <color theme="0" tint="-0.14996795556505021"/>
      </bottom>
      <diagonal/>
    </border>
    <border>
      <left style="thin">
        <color theme="0" tint="-0.499984740745262"/>
      </left>
      <right style="thin">
        <color indexed="64"/>
      </right>
      <top/>
      <bottom style="thin">
        <color indexed="64"/>
      </bottom>
      <diagonal/>
    </border>
    <border>
      <left style="thin">
        <color indexed="64"/>
      </left>
      <right style="thin">
        <color theme="0" tint="-0.499984740745262"/>
      </right>
      <top/>
      <bottom style="thin">
        <color indexed="64"/>
      </bottom>
      <diagonal/>
    </border>
    <border>
      <left style="thin">
        <color theme="0" tint="-0.34998626667073579"/>
      </left>
      <right style="thin">
        <color indexed="64"/>
      </right>
      <top style="thin">
        <color theme="0" tint="-0.14996795556505021"/>
      </top>
      <bottom style="thin">
        <color indexed="64"/>
      </bottom>
      <diagonal/>
    </border>
    <border>
      <left style="thin">
        <color indexed="64"/>
      </left>
      <right style="thin">
        <color theme="0" tint="-0.34998626667073579"/>
      </right>
      <top style="thin">
        <color theme="0" tint="-0.14996795556505021"/>
      </top>
      <bottom style="thin">
        <color indexed="64"/>
      </bottom>
      <diagonal/>
    </border>
    <border>
      <left style="thin">
        <color theme="0" tint="-0.499984740745262"/>
      </left>
      <right/>
      <top style="thin">
        <color theme="0" tint="-0.14996795556505021"/>
      </top>
      <bottom style="thin">
        <color theme="0" tint="-0.14996795556505021"/>
      </bottom>
      <diagonal/>
    </border>
    <border>
      <left style="thin">
        <color auto="1"/>
      </left>
      <right style="thin">
        <color theme="0" tint="-0.499984740745262"/>
      </right>
      <top style="thin">
        <color theme="0" tint="-0.14996795556505021"/>
      </top>
      <bottom style="thin">
        <color theme="0" tint="-0.14996795556505021"/>
      </bottom>
      <diagonal/>
    </border>
    <border>
      <left style="thin">
        <color theme="0" tint="-0.34998626667073579"/>
      </left>
      <right style="thin">
        <color auto="1"/>
      </right>
      <top style="thin">
        <color indexed="64"/>
      </top>
      <bottom/>
      <diagonal/>
    </border>
    <border>
      <left style="thin">
        <color indexed="64"/>
      </left>
      <right style="thin">
        <color theme="0" tint="-0.34998626667073579"/>
      </right>
      <top style="thin">
        <color indexed="64"/>
      </top>
      <bottom/>
      <diagonal/>
    </border>
    <border>
      <left style="thin">
        <color auto="1"/>
      </left>
      <right style="thin">
        <color theme="0" tint="-0.14996795556505021"/>
      </right>
      <top style="thin">
        <color theme="0" tint="-0.14996795556505021"/>
      </top>
      <bottom style="thin">
        <color theme="0" tint="-0.14996795556505021"/>
      </bottom>
      <diagonal/>
    </border>
    <border>
      <left style="thin">
        <color auto="1"/>
      </left>
      <right style="thin">
        <color theme="0" tint="-0.34998626667073579"/>
      </right>
      <top style="thin">
        <color theme="0" tint="-0.14996795556505021"/>
      </top>
      <bottom style="thin">
        <color theme="0" tint="-0.14996795556505021"/>
      </bottom>
      <diagonal/>
    </border>
    <border>
      <left style="thin">
        <color auto="1"/>
      </left>
      <right style="thin">
        <color theme="0" tint="-0.34998626667073579"/>
      </right>
      <top style="thin">
        <color theme="0" tint="-0.34998626667073579"/>
      </top>
      <bottom style="thin">
        <color theme="0" tint="-0.14996795556505021"/>
      </bottom>
      <diagonal/>
    </border>
    <border>
      <left/>
      <right style="thin">
        <color theme="0" tint="-0.14996795556505021"/>
      </right>
      <top style="thin">
        <color theme="0" tint="-0.14996795556505021"/>
      </top>
      <bottom/>
      <diagonal/>
    </border>
    <border>
      <left style="thin">
        <color indexed="64"/>
      </left>
      <right style="thin">
        <color theme="0" tint="-0.499984740745262"/>
      </right>
      <top style="thin">
        <color theme="0" tint="-0.34998626667073579"/>
      </top>
      <bottom style="thin">
        <color auto="1"/>
      </bottom>
      <diagonal/>
    </border>
    <border>
      <left style="thin">
        <color indexed="64"/>
      </left>
      <right style="thin">
        <color theme="0" tint="-0.499984740745262"/>
      </right>
      <top style="thin">
        <color indexed="64"/>
      </top>
      <bottom style="thin">
        <color auto="1"/>
      </bottom>
      <diagonal/>
    </border>
    <border>
      <left style="thin">
        <color theme="0" tint="-0.34998626667073579"/>
      </left>
      <right style="thin">
        <color theme="0" tint="-0.34998626667073579"/>
      </right>
      <top style="thin">
        <color indexed="64"/>
      </top>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theme="0" tint="-0.499984740745262"/>
      </right>
      <top/>
      <bottom/>
      <diagonal/>
    </border>
    <border>
      <left style="thin">
        <color indexed="64"/>
      </left>
      <right style="thin">
        <color theme="0" tint="-0.14996795556505021"/>
      </right>
      <top style="thin">
        <color auto="1"/>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rgb="FF000000"/>
      </left>
      <right style="thin">
        <color indexed="64"/>
      </right>
      <top style="thin">
        <color rgb="FF000000"/>
      </top>
      <bottom style="thin">
        <color theme="0" tint="-0.24994659260841701"/>
      </bottom>
      <diagonal/>
    </border>
    <border>
      <left style="thin">
        <color rgb="FF000000"/>
      </left>
      <right style="thin">
        <color indexed="64"/>
      </right>
      <top style="thin">
        <color theme="0" tint="-0.24994659260841701"/>
      </top>
      <bottom style="thin">
        <color theme="0" tint="-0.24994659260841701"/>
      </bottom>
      <diagonal/>
    </border>
    <border>
      <left/>
      <right/>
      <top style="thin">
        <color indexed="64"/>
      </top>
      <bottom/>
      <diagonal/>
    </border>
    <border>
      <left style="thin">
        <color rgb="FF000000"/>
      </left>
      <right style="thin">
        <color indexed="64"/>
      </right>
      <top style="thin">
        <color theme="0" tint="-0.24994659260841701"/>
      </top>
      <bottom style="thin">
        <color rgb="FF000000"/>
      </bottom>
      <diagonal/>
    </border>
    <border>
      <left style="thin">
        <color indexed="64"/>
      </left>
      <right style="thin">
        <color indexed="64"/>
      </right>
      <top style="thin">
        <color theme="0" tint="-0.34998626667073579"/>
      </top>
      <bottom style="thin">
        <color theme="0" tint="-0.14996795556505021"/>
      </bottom>
      <diagonal/>
    </border>
    <border>
      <left style="thin">
        <color auto="1"/>
      </left>
      <right/>
      <top/>
      <bottom style="thin">
        <color auto="1"/>
      </bottom>
      <diagonal/>
    </border>
    <border>
      <left/>
      <right style="thin">
        <color auto="1"/>
      </right>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theme="0" tint="-0.14993743705557422"/>
      </right>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indexed="64"/>
      </bottom>
      <diagonal/>
    </border>
    <border>
      <left/>
      <right/>
      <top/>
      <bottom style="thin">
        <color indexed="64"/>
      </bottom>
      <diagonal/>
    </border>
    <border>
      <left/>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1"/>
      </right>
      <top/>
      <bottom style="thin">
        <color indexed="64"/>
      </bottom>
      <diagonal/>
    </border>
    <border>
      <left style="thin">
        <color theme="0" tint="-0.499984740745262"/>
      </left>
      <right/>
      <top style="thin">
        <color indexed="64"/>
      </top>
      <bottom/>
      <diagonal/>
    </border>
    <border>
      <left style="thin">
        <color theme="0" tint="-0.499984740745262"/>
      </left>
      <right/>
      <top/>
      <bottom style="thin">
        <color indexed="64"/>
      </bottom>
      <diagonal/>
    </border>
    <border>
      <left style="thin">
        <color theme="0" tint="-0.499984740745262"/>
      </left>
      <right/>
      <top style="thin">
        <color theme="0" tint="-0.34998626667073579"/>
      </top>
      <bottom style="thin">
        <color auto="1"/>
      </bottom>
      <diagonal/>
    </border>
    <border>
      <left style="thin">
        <color theme="0" tint="-0.499984740745262"/>
      </left>
      <right/>
      <top style="thin">
        <color indexed="64"/>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right style="thin">
        <color auto="1"/>
      </right>
      <top/>
      <bottom/>
      <diagonal/>
    </border>
    <border>
      <left style="thin">
        <color auto="1"/>
      </left>
      <right/>
      <top/>
      <bottom/>
      <diagonal/>
    </border>
    <border>
      <left style="thin">
        <color auto="1"/>
      </left>
      <right style="thin">
        <color auto="1"/>
      </right>
      <top style="thin">
        <color theme="0" tint="-0.14996795556505021"/>
      </top>
      <bottom style="thin">
        <color theme="0" tint="-0.14993743705557422"/>
      </bottom>
      <diagonal/>
    </border>
    <border>
      <left style="thin">
        <color auto="1"/>
      </left>
      <right/>
      <top style="thin">
        <color auto="1"/>
      </top>
      <bottom/>
      <diagonal/>
    </border>
    <border>
      <left/>
      <right style="thin">
        <color auto="1"/>
      </right>
      <top style="thin">
        <color auto="1"/>
      </top>
      <bottom/>
      <diagonal/>
    </border>
    <border>
      <left style="thin">
        <color theme="0" tint="-0.34998626667073579"/>
      </left>
      <right style="thin">
        <color theme="0" tint="-0.34998626667073579"/>
      </right>
      <top style="thin">
        <color indexed="64"/>
      </top>
      <bottom style="thin">
        <color indexed="64"/>
      </bottom>
      <diagonal/>
    </border>
    <border>
      <left style="thin">
        <color theme="0" tint="-0.14996795556505021"/>
      </left>
      <right style="thin">
        <color auto="1"/>
      </right>
      <top style="thin">
        <color auto="1"/>
      </top>
      <bottom style="thin">
        <color auto="1"/>
      </bottom>
      <diagonal/>
    </border>
    <border>
      <left style="thin">
        <color indexed="64"/>
      </left>
      <right style="thin">
        <color theme="0" tint="-0.24994659260841701"/>
      </right>
      <top style="thin">
        <color indexed="64"/>
      </top>
      <bottom style="thin">
        <color indexed="64"/>
      </bottom>
      <diagonal/>
    </border>
    <border>
      <left style="thin">
        <color auto="1"/>
      </left>
      <right/>
      <top style="thin">
        <color auto="1"/>
      </top>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theme="1"/>
      </right>
      <top/>
      <bottom style="thin">
        <color indexed="64"/>
      </bottom>
      <diagonal/>
    </border>
    <border>
      <left style="thin">
        <color auto="1"/>
      </left>
      <right style="thin">
        <color auto="1"/>
      </right>
      <top style="thin">
        <color auto="1"/>
      </top>
      <bottom/>
      <diagonal/>
    </border>
    <border>
      <left style="thin">
        <color theme="0" tint="-0.14996795556505021"/>
      </left>
      <right style="thin">
        <color indexed="64"/>
      </right>
      <top style="thin">
        <color theme="0" tint="-0.14996795556505021"/>
      </top>
      <bottom style="thin">
        <color indexed="64"/>
      </bottom>
      <diagonal/>
    </border>
    <border>
      <left style="thin">
        <color indexed="64"/>
      </left>
      <right style="thin">
        <color indexed="64"/>
      </right>
      <top style="thin">
        <color indexed="22"/>
      </top>
      <bottom/>
      <diagonal/>
    </border>
    <border>
      <left style="thin">
        <color auto="1"/>
      </left>
      <right style="thin">
        <color indexed="64"/>
      </right>
      <top style="thin">
        <color auto="1"/>
      </top>
      <bottom style="thin">
        <color indexed="64"/>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style="thin">
        <color indexed="64"/>
      </right>
      <top style="thin">
        <color auto="1"/>
      </top>
      <bottom/>
      <diagonal/>
    </border>
    <border>
      <left style="thin">
        <color indexed="64"/>
      </left>
      <right style="thin">
        <color indexed="64"/>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auto="1"/>
      </right>
      <top style="thin">
        <color indexed="64"/>
      </top>
      <bottom style="thin">
        <color auto="1"/>
      </bottom>
      <diagonal/>
    </border>
    <border>
      <left style="thin">
        <color indexed="64"/>
      </left>
      <right style="thin">
        <color indexed="64"/>
      </right>
      <top style="thin">
        <color theme="0" tint="-0.14996795556505021"/>
      </top>
      <bottom style="thin">
        <color theme="1"/>
      </bottom>
      <diagonal/>
    </border>
    <border>
      <left style="thin">
        <color theme="0" tint="-0.14996795556505021"/>
      </left>
      <right style="thin">
        <color theme="0" tint="-0.14996795556505021"/>
      </right>
      <top/>
      <bottom style="thin">
        <color theme="0" tint="-0.14993743705557422"/>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indexed="64"/>
      </left>
      <right style="thin">
        <color theme="0" tint="-0.14996795556505021"/>
      </right>
      <top/>
      <bottom style="thin">
        <color indexed="64"/>
      </bottom>
      <diagonal/>
    </border>
    <border>
      <left/>
      <right/>
      <top style="thin">
        <color theme="0" tint="-0.14993743705557422"/>
      </top>
      <bottom/>
      <diagonal/>
    </border>
    <border>
      <left style="thin">
        <color theme="0" tint="-0.14996795556505021"/>
      </left>
      <right style="thin">
        <color theme="0" tint="-0.14996795556505021"/>
      </right>
      <top style="thin">
        <color theme="0" tint="-0.14993743705557422"/>
      </top>
      <bottom/>
      <diagonal/>
    </border>
    <border>
      <left/>
      <right style="thin">
        <color theme="0" tint="-0.14996795556505021"/>
      </right>
      <top style="thin">
        <color theme="0" tint="-0.34998626667073579"/>
      </top>
      <bottom/>
      <diagonal/>
    </border>
    <border>
      <left style="thin">
        <color indexed="64"/>
      </left>
      <right/>
      <top style="thin">
        <color indexed="64"/>
      </top>
      <bottom style="thin">
        <color indexed="64"/>
      </bottom>
      <diagonal/>
    </border>
    <border>
      <left/>
      <right/>
      <top style="thin">
        <color indexed="64"/>
      </top>
      <bottom style="thin">
        <color theme="1"/>
      </bottom>
      <diagonal/>
    </border>
    <border>
      <left style="thin">
        <color auto="1"/>
      </left>
      <right style="thin">
        <color auto="1"/>
      </right>
      <top style="thin">
        <color indexed="64"/>
      </top>
      <bottom style="thin">
        <color theme="1"/>
      </bottom>
      <diagonal/>
    </border>
    <border>
      <left style="thin">
        <color auto="1"/>
      </left>
      <right style="thin">
        <color theme="1" tint="0.499984740745262"/>
      </right>
      <top style="thin">
        <color indexed="64"/>
      </top>
      <bottom style="thin">
        <color theme="1"/>
      </bottom>
      <diagonal/>
    </border>
    <border>
      <left/>
      <right style="thin">
        <color indexed="64"/>
      </right>
      <top style="thin">
        <color indexed="64"/>
      </top>
      <bottom style="thin">
        <color theme="1"/>
      </bottom>
      <diagonal/>
    </border>
    <border>
      <left style="thin">
        <color auto="1"/>
      </left>
      <right/>
      <top/>
      <bottom style="thin">
        <color theme="0" tint="-0.24994659260841701"/>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indexed="64"/>
      </left>
      <right style="thin">
        <color theme="0" tint="-0.14996795556505021"/>
      </right>
      <top style="thin">
        <color indexed="64"/>
      </top>
      <bottom/>
      <diagonal/>
    </border>
    <border>
      <left style="thin">
        <color theme="0" tint="-0.14996795556505021"/>
      </left>
      <right style="thin">
        <color theme="0" tint="-0.14996795556505021"/>
      </right>
      <top style="thin">
        <color indexed="64"/>
      </top>
      <bottom/>
      <diagonal/>
    </border>
    <border>
      <left style="thin">
        <color theme="0" tint="-0.14996795556505021"/>
      </left>
      <right style="thin">
        <color theme="0" tint="-0.14996795556505021"/>
      </right>
      <top/>
      <bottom style="thin">
        <color indexed="64"/>
      </bottom>
      <diagonal/>
    </border>
    <border>
      <left style="thin">
        <color theme="0" tint="-0.14996795556505021"/>
      </left>
      <right style="thin">
        <color indexed="64"/>
      </right>
      <top style="thin">
        <color indexed="64"/>
      </top>
      <bottom/>
      <diagonal/>
    </border>
    <border>
      <left style="thin">
        <color theme="0" tint="-0.14996795556505021"/>
      </left>
      <right style="thin">
        <color theme="0" tint="-0.34998626667073579"/>
      </right>
      <top/>
      <bottom style="thin">
        <color indexed="64"/>
      </bottom>
      <diagonal/>
    </border>
    <border>
      <left style="thin">
        <color theme="0" tint="-0.14996795556505021"/>
      </left>
      <right style="thin">
        <color theme="0" tint="-0.34998626667073579"/>
      </right>
      <top style="thin">
        <color indexed="64"/>
      </top>
      <bottom style="thin">
        <color theme="0" tint="-0.14996795556505021"/>
      </bottom>
      <diagonal/>
    </border>
    <border>
      <left style="thin">
        <color theme="0" tint="-0.14996795556505021"/>
      </left>
      <right style="thin">
        <color theme="0" tint="-0.34998626667073579"/>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499984740745262"/>
      </right>
      <top style="thin">
        <color auto="1"/>
      </top>
      <bottom/>
      <diagonal/>
    </border>
    <border>
      <left style="thin">
        <color theme="0" tint="-0.14996795556505021"/>
      </left>
      <right style="thin">
        <color theme="0" tint="-0.499984740745262"/>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auto="1"/>
      </left>
      <right/>
      <top style="thin">
        <color theme="0" tint="-0.24994659260841701"/>
      </top>
      <bottom/>
      <diagonal/>
    </border>
    <border>
      <left/>
      <right style="thin">
        <color indexed="64"/>
      </right>
      <top style="thin">
        <color theme="0" tint="-0.24994659260841701"/>
      </top>
      <bottom/>
      <diagonal/>
    </border>
    <border>
      <left style="thin">
        <color indexed="64"/>
      </left>
      <right/>
      <top style="thin">
        <color indexed="64"/>
      </top>
      <bottom style="thin">
        <color theme="0" tint="-0.24994659260841701"/>
      </bottom>
      <diagonal/>
    </border>
    <border>
      <left style="thin">
        <color indexed="64"/>
      </left>
      <right style="thin">
        <color indexed="22"/>
      </right>
      <top style="thin">
        <color indexed="64"/>
      </top>
      <bottom style="thin">
        <color indexed="64"/>
      </bottom>
      <diagonal/>
    </border>
    <border>
      <left style="thin">
        <color indexed="22"/>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22"/>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55"/>
      </right>
      <top style="thin">
        <color indexed="64"/>
      </top>
      <bottom/>
      <diagonal/>
    </border>
    <border>
      <left style="thin">
        <color indexed="55"/>
      </left>
      <right style="thin">
        <color indexed="64"/>
      </right>
      <top style="thin">
        <color indexed="64"/>
      </top>
      <bottom/>
      <diagonal/>
    </border>
    <border>
      <left/>
      <right style="thin">
        <color indexed="55"/>
      </right>
      <top style="thin">
        <color indexed="64"/>
      </top>
      <bottom/>
      <diagonal/>
    </border>
    <border>
      <left style="thin">
        <color indexed="64"/>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right style="thin">
        <color indexed="55"/>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indexed="10"/>
      </left>
      <right style="thin">
        <color indexed="10"/>
      </right>
      <top style="thin">
        <color indexed="10"/>
      </top>
      <bottom/>
      <diagonal/>
    </border>
    <border>
      <left style="thin">
        <color indexed="10"/>
      </left>
      <right style="thin">
        <color indexed="10"/>
      </right>
      <top/>
      <bottom/>
      <diagonal/>
    </border>
    <border>
      <left style="thin">
        <color rgb="FFFF0000"/>
      </left>
      <right style="thin">
        <color rgb="FFFF0000"/>
      </right>
      <top style="thin">
        <color rgb="FFFF0000"/>
      </top>
      <bottom style="thin">
        <color rgb="FFFF0000"/>
      </bottom>
      <diagonal/>
    </border>
    <border>
      <left style="thin">
        <color rgb="FFFF0000"/>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auto="1"/>
      </left>
      <right/>
      <top style="thin">
        <color auto="1"/>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theme="0" tint="-0.34998626667073579"/>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55"/>
      </left>
      <right style="thin">
        <color indexed="64"/>
      </right>
      <top/>
      <bottom/>
      <diagonal/>
    </border>
    <border>
      <left style="thin">
        <color indexed="64"/>
      </left>
      <right style="double">
        <color indexed="64"/>
      </right>
      <top/>
      <bottom style="thin">
        <color indexed="64"/>
      </bottom>
      <diagonal/>
    </border>
    <border>
      <left/>
      <right style="thin">
        <color indexed="22"/>
      </right>
      <top/>
      <bottom style="thin">
        <color indexed="64"/>
      </bottom>
      <diagonal/>
    </border>
    <border>
      <left style="thin">
        <color indexed="22"/>
      </left>
      <right style="thin">
        <color indexed="64"/>
      </right>
      <top/>
      <bottom style="thin">
        <color indexed="64"/>
      </bottom>
      <diagonal/>
    </border>
    <border>
      <left style="thin">
        <color indexed="64"/>
      </left>
      <right style="double">
        <color indexed="64"/>
      </right>
      <top style="thin">
        <color theme="0" tint="-0.14996795556505021"/>
      </top>
      <bottom style="thin">
        <color indexed="64"/>
      </bottom>
      <diagonal/>
    </border>
    <border>
      <left/>
      <right style="thin">
        <color indexed="55"/>
      </right>
      <top style="thin">
        <color theme="0" tint="-0.14996795556505021"/>
      </top>
      <bottom style="thin">
        <color indexed="64"/>
      </bottom>
      <diagonal/>
    </border>
    <border>
      <left style="thin">
        <color indexed="55"/>
      </left>
      <right style="thin">
        <color indexed="64"/>
      </right>
      <top style="thin">
        <color theme="0" tint="-0.14996795556505021"/>
      </top>
      <bottom style="thin">
        <color indexed="64"/>
      </bottom>
      <diagonal/>
    </border>
    <border>
      <left style="thin">
        <color indexed="64"/>
      </left>
      <right style="double">
        <color indexed="64"/>
      </right>
      <top style="thin">
        <color indexed="64"/>
      </top>
      <bottom style="thin">
        <color theme="0" tint="-0.14996795556505021"/>
      </bottom>
      <diagonal/>
    </border>
    <border>
      <left/>
      <right style="thin">
        <color indexed="22"/>
      </right>
      <top style="thin">
        <color indexed="64"/>
      </top>
      <bottom style="thin">
        <color theme="0" tint="-0.14996795556505021"/>
      </bottom>
      <diagonal/>
    </border>
    <border>
      <left style="thin">
        <color indexed="22"/>
      </left>
      <right style="thin">
        <color indexed="64"/>
      </right>
      <top style="thin">
        <color indexed="64"/>
      </top>
      <bottom style="thin">
        <color theme="0" tint="-0.14996795556505021"/>
      </bottom>
      <diagonal/>
    </border>
    <border>
      <left/>
      <right style="thin">
        <color indexed="55"/>
      </right>
      <top style="thin">
        <color indexed="64"/>
      </top>
      <bottom style="thin">
        <color theme="0" tint="-0.14996795556505021"/>
      </bottom>
      <diagonal/>
    </border>
    <border>
      <left style="thin">
        <color indexed="55"/>
      </left>
      <right style="thin">
        <color indexed="64"/>
      </right>
      <top style="thin">
        <color indexed="64"/>
      </top>
      <bottom style="thin">
        <color theme="0" tint="-0.14996795556505021"/>
      </bottom>
      <diagonal/>
    </border>
    <border>
      <left style="thin">
        <color auto="1"/>
      </left>
      <right style="double">
        <color auto="1"/>
      </right>
      <top style="thin">
        <color rgb="FFD8D8D8"/>
      </top>
      <bottom style="thin">
        <color auto="1"/>
      </bottom>
      <diagonal/>
    </border>
    <border>
      <left/>
      <right style="thin">
        <color indexed="22"/>
      </right>
      <top style="thin">
        <color theme="0" tint="-0.14996795556505021"/>
      </top>
      <bottom style="thin">
        <color indexed="64"/>
      </bottom>
      <diagonal/>
    </border>
    <border>
      <left style="thin">
        <color indexed="22"/>
      </left>
      <right style="thin">
        <color indexed="64"/>
      </right>
      <top style="thin">
        <color theme="0" tint="-0.14996795556505021"/>
      </top>
      <bottom style="thin">
        <color indexed="64"/>
      </bottom>
      <diagonal/>
    </border>
    <border>
      <left/>
      <right style="thin">
        <color indexed="55"/>
      </right>
      <top/>
      <bottom style="thin">
        <color indexed="64"/>
      </bottom>
      <diagonal/>
    </border>
    <border>
      <left style="thin">
        <color indexed="55"/>
      </left>
      <right style="thin">
        <color indexed="64"/>
      </right>
      <top/>
      <bottom style="thin">
        <color indexed="64"/>
      </bottom>
      <diagonal/>
    </border>
    <border>
      <left style="double">
        <color indexed="64"/>
      </left>
      <right style="thin">
        <color indexed="64"/>
      </right>
      <top style="thin">
        <color indexed="64"/>
      </top>
      <bottom style="thin">
        <color theme="0" tint="-0.14996795556505021"/>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theme="0" tint="-0.14996795556505021"/>
      </top>
      <bottom style="thin">
        <color indexed="64"/>
      </bottom>
      <diagonal/>
    </border>
    <border>
      <left style="thin">
        <color auto="1"/>
      </left>
      <right/>
      <top/>
      <bottom style="thin">
        <color auto="1"/>
      </bottom>
      <diagonal/>
    </border>
    <border>
      <left style="thin">
        <color indexed="55"/>
      </left>
      <right style="thin">
        <color indexed="64"/>
      </right>
      <top style="thin">
        <color indexed="64"/>
      </top>
      <bottom style="thin">
        <color indexed="64"/>
      </bottom>
      <diagonal/>
    </border>
    <border>
      <left style="thin">
        <color theme="0" tint="-0.14993743705557422"/>
      </left>
      <right style="thin">
        <color auto="1"/>
      </right>
      <top style="thin">
        <color auto="1"/>
      </top>
      <bottom style="thin">
        <color theme="0" tint="-0.14996795556505021"/>
      </bottom>
      <diagonal/>
    </border>
    <border>
      <left style="thin">
        <color auto="1"/>
      </left>
      <right/>
      <top style="thin">
        <color theme="0" tint="-0.499984740745262"/>
      </top>
      <bottom/>
      <diagonal/>
    </border>
    <border>
      <left/>
      <right/>
      <top style="thin">
        <color theme="0" tint="-0.499984740745262"/>
      </top>
      <bottom/>
      <diagonal/>
    </border>
    <border>
      <left/>
      <right style="thin">
        <color indexed="64"/>
      </right>
      <top style="thin">
        <color theme="0" tint="-0.499984740745262"/>
      </top>
      <bottom/>
      <diagonal/>
    </border>
    <border>
      <left style="thin">
        <color auto="1"/>
      </left>
      <right/>
      <top/>
      <bottom style="thin">
        <color theme="0" tint="-0.499984740745262"/>
      </bottom>
      <diagonal/>
    </border>
    <border>
      <left/>
      <right/>
      <top/>
      <bottom style="thin">
        <color theme="0" tint="-0.499984740745262"/>
      </bottom>
      <diagonal/>
    </border>
    <border>
      <left/>
      <right style="thin">
        <color auto="1"/>
      </right>
      <top/>
      <bottom style="thin">
        <color theme="0" tint="-0.499984740745262"/>
      </bottom>
      <diagonal/>
    </border>
    <border>
      <left/>
      <right/>
      <top/>
      <bottom style="thin">
        <color theme="0" tint="-0.34998626667073579"/>
      </bottom>
      <diagonal/>
    </border>
    <border>
      <left/>
      <right style="thin">
        <color auto="1"/>
      </right>
      <top/>
      <bottom style="thin">
        <color theme="0" tint="-0.34998626667073579"/>
      </bottom>
      <diagonal/>
    </border>
    <border>
      <left style="thin">
        <color theme="0" tint="-0.14996795556505021"/>
      </left>
      <right style="thin">
        <color indexed="64"/>
      </right>
      <top style="thin">
        <color theme="0" tint="-0.14996795556505021"/>
      </top>
      <bottom/>
      <diagonal/>
    </border>
    <border>
      <left style="thin">
        <color theme="0" tint="-0.14993743705557422"/>
      </left>
      <right style="thin">
        <color indexed="64"/>
      </right>
      <top style="thin">
        <color theme="0" tint="-0.14996795556505021"/>
      </top>
      <bottom/>
      <diagonal/>
    </border>
    <border>
      <left style="thin">
        <color auto="1"/>
      </left>
      <right/>
      <top style="thin">
        <color theme="0" tint="-0.499984740745262"/>
      </top>
      <bottom style="thin">
        <color theme="0" tint="-0.14996795556505021"/>
      </bottom>
      <diagonal/>
    </border>
    <border>
      <left style="thin">
        <color theme="0" tint="-0.14996795556505021"/>
      </left>
      <right style="thin">
        <color indexed="64"/>
      </right>
      <top style="thin">
        <color theme="0" tint="-0.499984740745262"/>
      </top>
      <bottom style="thin">
        <color theme="0" tint="-0.14996795556505021"/>
      </bottom>
      <diagonal/>
    </border>
    <border>
      <left style="thin">
        <color theme="0" tint="-0.14993743705557422"/>
      </left>
      <right style="thin">
        <color auto="1"/>
      </right>
      <top style="thin">
        <color theme="0" tint="-0.499984740745262"/>
      </top>
      <bottom style="thin">
        <color theme="0" tint="-0.14996795556505021"/>
      </bottom>
      <diagonal/>
    </border>
    <border>
      <left style="thin">
        <color auto="1"/>
      </left>
      <right/>
      <top style="thin">
        <color theme="0" tint="-0.14996795556505021"/>
      </top>
      <bottom style="thin">
        <color theme="0" tint="-0.499984740745262"/>
      </bottom>
      <diagonal/>
    </border>
    <border>
      <left style="thin">
        <color theme="0" tint="-0.14996795556505021"/>
      </left>
      <right style="thin">
        <color auto="1"/>
      </right>
      <top style="thin">
        <color theme="0" tint="-0.14996795556505021"/>
      </top>
      <bottom style="thin">
        <color theme="0" tint="-0.499984740745262"/>
      </bottom>
      <diagonal/>
    </border>
    <border>
      <left style="thin">
        <color theme="0" tint="-0.14993743705557422"/>
      </left>
      <right style="thin">
        <color auto="1"/>
      </right>
      <top style="thin">
        <color theme="0" tint="-0.14996795556505021"/>
      </top>
      <bottom style="thin">
        <color theme="0" tint="-0.499984740745262"/>
      </bottom>
      <diagonal/>
    </border>
    <border>
      <left style="thin">
        <color theme="0" tint="-0.14993743705557422"/>
      </left>
      <right style="thin">
        <color auto="1"/>
      </right>
      <top/>
      <bottom style="thin">
        <color theme="0" tint="-0.14996795556505021"/>
      </bottom>
      <diagonal/>
    </border>
    <border>
      <left style="thin">
        <color indexed="64"/>
      </left>
      <right/>
      <top style="thin">
        <color indexed="64"/>
      </top>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indexed="64"/>
      </bottom>
      <diagonal/>
    </border>
    <border>
      <left style="thin">
        <color indexed="64"/>
      </left>
      <right style="thin">
        <color auto="1"/>
      </right>
      <top style="thin">
        <color indexed="64"/>
      </top>
      <bottom/>
      <diagonal/>
    </border>
    <border>
      <left style="thin">
        <color auto="1"/>
      </left>
      <right/>
      <top style="thin">
        <color indexed="64"/>
      </top>
      <bottom style="thin">
        <color indexed="64"/>
      </bottom>
      <diagonal/>
    </border>
    <border>
      <left/>
      <right style="thin">
        <color auto="1"/>
      </right>
      <top/>
      <bottom style="thin">
        <color auto="1"/>
      </bottom>
      <diagonal/>
    </border>
    <border>
      <left/>
      <right/>
      <top style="thin">
        <color auto="1"/>
      </top>
      <bottom style="thin">
        <color indexed="64"/>
      </bottom>
      <diagonal/>
    </border>
    <border>
      <left style="double">
        <color indexed="64"/>
      </left>
      <right/>
      <top style="thin">
        <color auto="1"/>
      </top>
      <bottom/>
      <diagonal/>
    </border>
    <border>
      <left/>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indexed="64"/>
      </top>
      <bottom style="thin">
        <color indexed="8"/>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top/>
      <bottom style="thin">
        <color indexed="64"/>
      </bottom>
      <diagonal/>
    </border>
    <border>
      <left style="thin">
        <color auto="1"/>
      </left>
      <right/>
      <top style="thin">
        <color indexed="8"/>
      </top>
      <bottom style="thin">
        <color auto="1"/>
      </bottom>
      <diagonal/>
    </border>
    <border>
      <left/>
      <right/>
      <top style="thin">
        <color indexed="8"/>
      </top>
      <bottom style="thin">
        <color auto="1"/>
      </bottom>
      <diagonal/>
    </border>
    <border>
      <left/>
      <right style="thin">
        <color auto="1"/>
      </right>
      <top style="thin">
        <color indexed="8"/>
      </top>
      <bottom style="thin">
        <color auto="1"/>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
      <left/>
      <right/>
      <top style="thin">
        <color theme="0" tint="-0.24994659260841701"/>
      </top>
      <bottom/>
      <diagonal/>
    </border>
    <border>
      <left style="thin">
        <color indexed="64"/>
      </left>
      <right/>
      <top style="thin">
        <color auto="1"/>
      </top>
      <bottom style="thin">
        <color theme="0" tint="-0.14996795556505021"/>
      </bottom>
      <diagonal/>
    </border>
    <border>
      <left/>
      <right style="thin">
        <color indexed="8"/>
      </right>
      <top style="thin">
        <color indexed="64"/>
      </top>
      <bottom style="thin">
        <color indexed="64"/>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rgb="FFFF0000"/>
      </right>
      <top style="thin">
        <color indexed="10"/>
      </top>
      <bottom style="thin">
        <color indexed="10"/>
      </bottom>
      <diagonal/>
    </border>
    <border>
      <left/>
      <right/>
      <top style="thin">
        <color indexed="64"/>
      </top>
      <bottom/>
      <diagonal/>
    </border>
    <border>
      <left/>
      <right/>
      <top style="thin">
        <color indexed="8"/>
      </top>
      <bottom/>
      <diagonal/>
    </border>
    <border>
      <left/>
      <right style="thin">
        <color auto="1"/>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bottom style="thin">
        <color auto="1"/>
      </bottom>
      <diagonal/>
    </border>
    <border>
      <left/>
      <right/>
      <top/>
      <bottom style="thin">
        <color auto="1"/>
      </bottom>
      <diagonal/>
    </border>
    <border>
      <left style="thin">
        <color auto="1"/>
      </left>
      <right/>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theme="0" tint="-0.14993743705557422"/>
      </left>
      <right/>
      <top style="thin">
        <color indexed="64"/>
      </top>
      <bottom/>
      <diagonal/>
    </border>
    <border>
      <left/>
      <right style="thin">
        <color auto="1"/>
      </right>
      <top style="thin">
        <color auto="1"/>
      </top>
      <bottom style="thin">
        <color auto="1"/>
      </bottom>
      <diagonal/>
    </border>
    <border>
      <left/>
      <right/>
      <top style="thin">
        <color indexed="64"/>
      </top>
      <bottom style="thin">
        <color auto="1"/>
      </bottom>
      <diagonal/>
    </border>
    <border>
      <left style="thin">
        <color theme="0" tint="-0.14996795556505021"/>
      </left>
      <right/>
      <top style="thin">
        <color auto="1"/>
      </top>
      <bottom/>
      <diagonal/>
    </border>
    <border>
      <left/>
      <right style="thin">
        <color theme="1"/>
      </right>
      <top/>
      <bottom style="thin">
        <color indexed="64"/>
      </bottom>
      <diagonal/>
    </border>
    <border>
      <left/>
      <right style="thin">
        <color theme="1"/>
      </right>
      <top style="thin">
        <color indexed="64"/>
      </top>
      <bottom/>
      <diagonal/>
    </border>
    <border>
      <left style="thin">
        <color indexed="22"/>
      </left>
      <right/>
      <top/>
      <bottom/>
      <diagonal/>
    </border>
    <border>
      <left/>
      <right style="thin">
        <color theme="1"/>
      </right>
      <top style="thin">
        <color indexed="64"/>
      </top>
      <bottom style="thin">
        <color auto="1"/>
      </bottom>
      <diagonal/>
    </border>
    <border>
      <left style="thin">
        <color indexed="64"/>
      </left>
      <right style="thin">
        <color indexed="64"/>
      </right>
      <top style="thin">
        <color indexed="64"/>
      </top>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theme="0" tint="-0.14996795556505021"/>
      </right>
      <top style="thin">
        <color indexed="64"/>
      </top>
      <bottom/>
      <diagonal/>
    </border>
    <border>
      <left style="thin">
        <color indexed="64"/>
      </left>
      <right style="thin">
        <color indexed="64"/>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style="thin">
        <color theme="0" tint="-0.14996795556505021"/>
      </left>
      <right style="thin">
        <color indexed="64"/>
      </right>
      <top style="thin">
        <color indexed="64"/>
      </top>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theme="0" tint="-0.14996795556505021"/>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top style="thin">
        <color indexed="64"/>
      </top>
      <bottom style="thin">
        <color indexed="64"/>
      </bottom>
      <diagonal/>
    </border>
    <border>
      <left style="thin">
        <color theme="0" tint="-0.499984740745262"/>
      </left>
      <right style="thin">
        <color theme="0" tint="-0.499984740745262"/>
      </right>
      <top style="thin">
        <color indexed="64"/>
      </top>
      <bottom style="thin">
        <color theme="0" tint="-0.499984740745262"/>
      </bottom>
      <diagonal/>
    </border>
    <border>
      <left/>
      <right/>
      <top/>
      <bottom style="medium">
        <color rgb="FF333399"/>
      </bottom>
      <diagonal/>
    </border>
    <border>
      <left/>
      <right/>
      <top/>
      <bottom style="medium">
        <color rgb="FFC0C0C0"/>
      </bottom>
      <diagonal/>
    </border>
    <border>
      <left style="thin">
        <color auto="1"/>
      </left>
      <right style="thin">
        <color auto="1"/>
      </right>
      <top/>
      <bottom style="thin">
        <color auto="1"/>
      </bottom>
      <diagonal/>
    </border>
    <border>
      <left style="thin">
        <color indexed="22"/>
      </left>
      <right/>
      <top/>
      <bottom/>
      <diagonal/>
    </border>
    <border>
      <left style="thin">
        <color indexed="22"/>
      </left>
      <right style="thin">
        <color indexed="22"/>
      </right>
      <top style="thin">
        <color indexed="22"/>
      </top>
      <bottom style="thin">
        <color indexed="22"/>
      </bottom>
      <diagonal/>
    </border>
    <border>
      <left style="thin">
        <color theme="0" tint="-0.24994659260841701"/>
      </left>
      <right/>
      <top/>
      <bottom/>
      <diagonal/>
    </border>
    <border>
      <left style="thin">
        <color indexed="64"/>
      </left>
      <right style="thin">
        <color theme="0" tint="-0.34998626667073579"/>
      </right>
      <top style="thin">
        <color indexed="64"/>
      </top>
      <bottom style="thin">
        <color auto="1"/>
      </bottom>
      <diagonal/>
    </border>
    <border>
      <left/>
      <right style="thin">
        <color theme="0" tint="-0.499984740745262"/>
      </right>
      <top style="thin">
        <color auto="1"/>
      </top>
      <bottom style="thin">
        <color auto="1"/>
      </bottom>
      <diagonal/>
    </border>
    <border>
      <left style="thin">
        <color indexed="64"/>
      </left>
      <right style="thin">
        <color theme="0" tint="-0.34998626667073579"/>
      </right>
      <top style="thin">
        <color indexed="64"/>
      </top>
      <bottom/>
      <diagonal/>
    </border>
    <border>
      <left/>
      <right style="thin">
        <color theme="0" tint="-0.14996795556505021"/>
      </right>
      <top style="thin">
        <color theme="0" tint="-0.14993743705557422"/>
      </top>
      <bottom style="thin">
        <color theme="0" tint="-0.14996795556505021"/>
      </bottom>
      <diagonal/>
    </border>
    <border>
      <left/>
      <right style="thin">
        <color theme="0" tint="-0.14996795556505021"/>
      </right>
      <top style="thin">
        <color theme="0" tint="-0.14996795556505021"/>
      </top>
      <bottom style="thin">
        <color theme="0" tint="-0.14993743705557422"/>
      </bottom>
      <diagonal/>
    </border>
    <border>
      <left/>
      <right style="thin">
        <color theme="0" tint="-0.24994659260841701"/>
      </right>
      <top style="thin">
        <color theme="0" tint="-0.24994659260841701"/>
      </top>
      <bottom style="thin">
        <color theme="0" tint="-0.24994659260841701"/>
      </bottom>
      <diagonal/>
    </border>
    <border>
      <left/>
      <right style="thin">
        <color theme="0" tint="-0.14993743705557422"/>
      </right>
      <top style="thin">
        <color indexed="64"/>
      </top>
      <bottom style="thin">
        <color theme="0" tint="-0.14993743705557422"/>
      </bottom>
      <diagonal/>
    </border>
    <border>
      <left style="thin">
        <color theme="0" tint="-0.34998626667073579"/>
      </left>
      <right style="thin">
        <color auto="1"/>
      </right>
      <top style="thin">
        <color auto="1"/>
      </top>
      <bottom style="thin">
        <color auto="1"/>
      </bottom>
      <diagonal/>
    </border>
    <border>
      <left style="thin">
        <color auto="1"/>
      </left>
      <right style="thin">
        <color auto="1"/>
      </right>
      <top style="thin">
        <color theme="1"/>
      </top>
      <bottom style="thin">
        <color auto="1"/>
      </bottom>
      <diagonal/>
    </border>
    <border>
      <left style="thin">
        <color indexed="64"/>
      </left>
      <right style="thin">
        <color theme="0" tint="-0.34998626667073579"/>
      </right>
      <top style="thin">
        <color theme="0" tint="-0.24994659260841701"/>
      </top>
      <bottom style="thin">
        <color auto="1"/>
      </bottom>
      <diagonal/>
    </border>
    <border>
      <left/>
      <right style="thin">
        <color indexed="64"/>
      </right>
      <top/>
      <bottom style="thin">
        <color indexed="64"/>
      </bottom>
      <diagonal/>
    </border>
    <border>
      <left/>
      <right/>
      <top style="thin">
        <color indexed="64"/>
      </top>
      <bottom style="thin">
        <color indexed="64"/>
      </bottom>
      <diagonal/>
    </border>
    <border>
      <left style="thin">
        <color rgb="FF000000"/>
      </left>
      <right style="thin">
        <color indexed="64"/>
      </right>
      <top style="thin">
        <color theme="0" tint="-0.24994659260841701"/>
      </top>
      <bottom/>
      <diagonal/>
    </border>
    <border>
      <left style="thin">
        <color auto="1"/>
      </left>
      <right/>
      <top style="thin">
        <color auto="1"/>
      </top>
      <bottom/>
      <diagonal/>
    </border>
    <border>
      <left style="thin">
        <color indexed="64"/>
      </left>
      <right style="thin">
        <color indexed="64"/>
      </right>
      <top style="thin">
        <color theme="0" tint="-0.34998626667073579"/>
      </top>
      <bottom style="thin">
        <color theme="0" tint="-0.34998626667073579"/>
      </bottom>
      <diagonal/>
    </border>
    <border>
      <left/>
      <right/>
      <top style="thin">
        <color theme="0" tint="-0.34998626667073579"/>
      </top>
      <bottom style="thin">
        <color theme="0" tint="-0.14996795556505021"/>
      </bottom>
      <diagonal/>
    </border>
    <border>
      <left/>
      <right style="thin">
        <color theme="0" tint="-0.14996795556505021"/>
      </right>
      <top style="thin">
        <color theme="0" tint="-0.14993743705557422"/>
      </top>
      <bottom style="thin">
        <color theme="1"/>
      </bottom>
      <diagonal/>
    </border>
    <border>
      <left style="thin">
        <color theme="1"/>
      </left>
      <right style="thin">
        <color theme="1"/>
      </right>
      <top style="thin">
        <color auto="1"/>
      </top>
      <bottom style="thin">
        <color auto="1"/>
      </bottom>
      <diagonal/>
    </border>
    <border>
      <left style="thin">
        <color theme="0" tint="-0.14993743705557422"/>
      </left>
      <right style="thin">
        <color auto="1"/>
      </right>
      <top style="thin">
        <color theme="0" tint="-0.14996795556505021"/>
      </top>
      <bottom style="thin">
        <color auto="1"/>
      </bottom>
      <diagonal/>
    </border>
    <border>
      <left style="thin">
        <color theme="1"/>
      </left>
      <right style="thin">
        <color theme="1"/>
      </right>
      <top/>
      <bottom style="thin">
        <color theme="1"/>
      </bottom>
      <diagonal/>
    </border>
    <border>
      <left/>
      <right/>
      <top/>
      <bottom style="thin">
        <color indexed="64"/>
      </bottom>
      <diagonal/>
    </border>
    <border>
      <left style="thin">
        <color theme="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theme="0" tint="-0.14996795556505021"/>
      </bottom>
      <diagonal/>
    </border>
    <border>
      <left style="thin">
        <color theme="1"/>
      </left>
      <right/>
      <top style="thin">
        <color theme="0" tint="-0.14993743705557422"/>
      </top>
      <bottom style="thin">
        <color theme="1"/>
      </bottom>
      <diagonal/>
    </border>
    <border>
      <left style="thin">
        <color theme="0" tint="-0.24994659260841701"/>
      </left>
      <right style="thin">
        <color indexed="64"/>
      </right>
      <top style="thin">
        <color theme="0" tint="-0.14996795556505021"/>
      </top>
      <bottom/>
      <diagonal/>
    </border>
    <border>
      <left/>
      <right style="thin">
        <color theme="1"/>
      </right>
      <top style="thin">
        <color theme="0" tint="-0.14996795556505021"/>
      </top>
      <bottom style="thin">
        <color indexed="64"/>
      </bottom>
      <diagonal/>
    </border>
    <border>
      <left style="thin">
        <color theme="1"/>
      </left>
      <right style="thin">
        <color theme="0" tint="-0.499984740745262"/>
      </right>
      <top style="thin">
        <color theme="0" tint="-0.34998626667073579"/>
      </top>
      <bottom style="thin">
        <color theme="0" tint="-0.14996795556505021"/>
      </bottom>
      <diagonal/>
    </border>
    <border>
      <left style="thin">
        <color theme="1"/>
      </left>
      <right style="thin">
        <color theme="0" tint="-0.499984740745262"/>
      </right>
      <top style="thin">
        <color theme="0" tint="-0.14996795556505021"/>
      </top>
      <bottom style="thin">
        <color theme="0" tint="-0.14996795556505021"/>
      </bottom>
      <diagonal/>
    </border>
    <border>
      <left style="thin">
        <color theme="1"/>
      </left>
      <right style="thin">
        <color theme="0" tint="-0.499984740745262"/>
      </right>
      <top/>
      <bottom style="thin">
        <color theme="0" tint="-0.14996795556505021"/>
      </bottom>
      <diagonal/>
    </border>
    <border>
      <left style="thin">
        <color theme="1"/>
      </left>
      <right style="thin">
        <color theme="0" tint="-0.499984740745262"/>
      </right>
      <top style="thin">
        <color theme="0" tint="-0.14993743705557422"/>
      </top>
      <bottom style="thin">
        <color theme="1"/>
      </bottom>
      <diagonal/>
    </border>
    <border>
      <left style="thin">
        <color theme="1"/>
      </left>
      <right style="thin">
        <color theme="0" tint="-0.499984740745262"/>
      </right>
      <top style="thin">
        <color theme="0" tint="-0.14996795556505021"/>
      </top>
      <bottom style="thin">
        <color auto="1"/>
      </bottom>
      <diagonal/>
    </border>
    <border>
      <left style="thin">
        <color theme="1"/>
      </left>
      <right style="thin">
        <color theme="0" tint="-0.499984740745262"/>
      </right>
      <top style="thin">
        <color auto="1"/>
      </top>
      <bottom style="thin">
        <color auto="1"/>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indexed="64"/>
      </top>
      <bottom style="thin">
        <color indexed="64"/>
      </bottom>
      <diagonal/>
    </border>
    <border>
      <left/>
      <right style="thin">
        <color auto="1"/>
      </right>
      <top style="thin">
        <color theme="1"/>
      </top>
      <bottom style="thin">
        <color auto="1"/>
      </bottom>
      <diagonal/>
    </border>
    <border>
      <left style="double">
        <color indexed="64"/>
      </left>
      <right/>
      <top style="thin">
        <color indexed="64"/>
      </top>
      <bottom style="thin">
        <color indexed="64"/>
      </bottom>
      <diagonal/>
    </border>
    <border>
      <left style="thin">
        <color theme="0" tint="-0.24994659260841701"/>
      </left>
      <right style="double">
        <color indexed="64"/>
      </right>
      <top style="thin">
        <color indexed="64"/>
      </top>
      <bottom style="thin">
        <color indexed="64"/>
      </bottom>
      <diagonal/>
    </border>
    <border>
      <left/>
      <right style="double">
        <color indexed="64"/>
      </right>
      <top style="thin">
        <color indexed="64"/>
      </top>
      <bottom style="thin">
        <color auto="1"/>
      </bottom>
      <diagonal/>
    </border>
    <border>
      <left style="thin">
        <color theme="0" tint="-0.14996795556505021"/>
      </left>
      <right style="double">
        <color indexed="64"/>
      </right>
      <top style="thin">
        <color indexed="64"/>
      </top>
      <bottom style="thin">
        <color indexed="64"/>
      </bottom>
      <diagonal/>
    </border>
    <border>
      <left style="thin">
        <color theme="0" tint="-0.14996795556505021"/>
      </left>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24994659260841701"/>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top style="thin">
        <color indexed="64"/>
      </top>
      <bottom style="thin">
        <color auto="1"/>
      </bottom>
      <diagonal/>
    </border>
    <border>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theme="0" tint="-0.24994659260841701"/>
      </right>
      <top style="thin">
        <color theme="0" tint="-0.34998626667073579"/>
      </top>
      <bottom style="thin">
        <color theme="0" tint="-0.24994659260841701"/>
      </bottom>
      <diagonal/>
    </border>
    <border>
      <left style="thin">
        <color theme="0" tint="-0.14996795556505021"/>
      </left>
      <right style="thin">
        <color theme="0" tint="-0.14993743705557422"/>
      </right>
      <top/>
      <bottom style="thin">
        <color theme="0" tint="-0.34998626667073579"/>
      </bottom>
      <diagonal/>
    </border>
    <border>
      <left style="thin">
        <color theme="0" tint="-0.14990691854609822"/>
      </left>
      <right/>
      <top style="thin">
        <color theme="0" tint="-0.14993743705557422"/>
      </top>
      <bottom style="thin">
        <color auto="1"/>
      </bottom>
      <diagonal/>
    </border>
    <border>
      <left/>
      <right style="thin">
        <color theme="0" tint="-0.14990691854609822"/>
      </right>
      <top style="thin">
        <color theme="0" tint="-0.14993743705557422"/>
      </top>
      <bottom style="thin">
        <color auto="1"/>
      </bottom>
      <diagonal/>
    </border>
    <border>
      <left style="thin">
        <color theme="0" tint="-0.34998626667073579"/>
      </left>
      <right style="thin">
        <color theme="0" tint="-0.34998626667073579"/>
      </right>
      <top style="thin">
        <color theme="0" tint="-0.24994659260841701"/>
      </top>
      <bottom style="thin">
        <color auto="1"/>
      </bottom>
      <diagonal/>
    </border>
    <border>
      <left style="thin">
        <color theme="0" tint="-0.14996795556505021"/>
      </left>
      <right style="thin">
        <color theme="0" tint="-0.14993743705557422"/>
      </right>
      <top style="thin">
        <color theme="0" tint="-0.14993743705557422"/>
      </top>
      <bottom style="thin">
        <color auto="1"/>
      </bottom>
      <diagonal/>
    </border>
    <border>
      <left style="thin">
        <color theme="0" tint="-0.14993743705557422"/>
      </left>
      <right style="thin">
        <color theme="0" tint="-0.14996795556505021"/>
      </right>
      <top style="thin">
        <color theme="0" tint="-0.14993743705557422"/>
      </top>
      <bottom style="thin">
        <color auto="1"/>
      </bottom>
      <diagonal/>
    </border>
    <border>
      <left style="thin">
        <color indexed="64"/>
      </left>
      <right style="thin">
        <color indexed="64"/>
      </right>
      <top/>
      <bottom/>
      <diagonal/>
    </border>
    <border>
      <left style="thin">
        <color indexed="64"/>
      </left>
      <right/>
      <top/>
      <bottom/>
      <diagonal/>
    </border>
    <border>
      <left style="thin">
        <color indexed="64"/>
      </left>
      <right style="double">
        <color theme="0" tint="-0.14996795556505021"/>
      </right>
      <top style="thin">
        <color indexed="64"/>
      </top>
      <bottom/>
      <diagonal/>
    </border>
    <border>
      <left style="double">
        <color theme="0" tint="-0.14996795556505021"/>
      </left>
      <right style="thin">
        <color indexed="64"/>
      </right>
      <top style="thin">
        <color indexed="64"/>
      </top>
      <bottom/>
      <diagonal/>
    </border>
    <border>
      <left style="thin">
        <color indexed="64"/>
      </left>
      <right style="double">
        <color theme="0" tint="-0.14996795556505021"/>
      </right>
      <top style="thin">
        <color theme="0" tint="-0.14996795556505021"/>
      </top>
      <bottom style="thin">
        <color theme="0" tint="-0.14996795556505021"/>
      </bottom>
      <diagonal/>
    </border>
    <border>
      <left style="double">
        <color theme="0" tint="-0.14996795556505021"/>
      </left>
      <right style="thin">
        <color indexed="64"/>
      </right>
      <top style="thin">
        <color theme="0" tint="-0.14996795556505021"/>
      </top>
      <bottom style="thin">
        <color theme="0" tint="-0.14996795556505021"/>
      </bottom>
      <diagonal/>
    </border>
    <border>
      <left style="thin">
        <color theme="0" tint="-0.499984740745262"/>
      </left>
      <right style="thin">
        <color indexed="64"/>
      </right>
      <top style="thin">
        <color indexed="64"/>
      </top>
      <bottom/>
      <diagonal/>
    </border>
    <border>
      <left style="thin">
        <color theme="0" tint="-0.14993743705557422"/>
      </left>
      <right style="thin">
        <color indexed="64"/>
      </right>
      <top style="thin">
        <color theme="0" tint="-0.14993743705557422"/>
      </top>
      <bottom style="thin">
        <color auto="1"/>
      </bottom>
      <diagonal/>
    </border>
    <border>
      <left style="thin">
        <color indexed="64"/>
      </left>
      <right style="thin">
        <color indexed="64"/>
      </right>
      <top style="thin">
        <color indexed="64"/>
      </top>
      <bottom style="thin">
        <color theme="0" tint="-0.14996795556505021"/>
      </bottom>
      <diagonal/>
    </border>
    <border>
      <left style="double">
        <color theme="0" tint="-0.14996795556505021"/>
      </left>
      <right/>
      <top style="thin">
        <color theme="0" tint="-0.14996795556505021"/>
      </top>
      <bottom style="thin">
        <color theme="0" tint="-0.14996795556505021"/>
      </bottom>
      <diagonal/>
    </border>
    <border>
      <left style="thin">
        <color indexed="64"/>
      </left>
      <right style="double">
        <color theme="0" tint="-0.14996795556505021"/>
      </right>
      <top/>
      <bottom/>
      <diagonal/>
    </border>
    <border>
      <left style="double">
        <color theme="0" tint="-0.14996795556505021"/>
      </left>
      <right style="thin">
        <color indexed="64"/>
      </right>
      <top/>
      <bottom/>
      <diagonal/>
    </border>
    <border>
      <left style="thin">
        <color indexed="64"/>
      </left>
      <right style="double">
        <color theme="0" tint="-0.14996795556505021"/>
      </right>
      <top style="thin">
        <color auto="1"/>
      </top>
      <bottom style="thin">
        <color theme="0" tint="-0.14996795556505021"/>
      </bottom>
      <diagonal/>
    </border>
    <border>
      <left style="double">
        <color theme="0" tint="-0.14996795556505021"/>
      </left>
      <right style="thin">
        <color indexed="64"/>
      </right>
      <top style="thin">
        <color auto="1"/>
      </top>
      <bottom style="thin">
        <color theme="0" tint="-0.1499679555650502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theme="0" tint="-0.14996795556505021"/>
      </top>
      <bottom style="thin">
        <color indexed="64"/>
      </bottom>
      <diagonal/>
    </border>
    <border>
      <left style="thin">
        <color auto="1"/>
      </left>
      <right style="double">
        <color theme="0" tint="-0.14996795556505021"/>
      </right>
      <top style="thin">
        <color theme="0" tint="-0.14996795556505021"/>
      </top>
      <bottom style="thin">
        <color theme="0" tint="-0.14996795556505021"/>
      </bottom>
      <diagonal/>
    </border>
    <border>
      <left style="thin">
        <color auto="1"/>
      </left>
      <right style="double">
        <color theme="0" tint="-0.14996795556505021"/>
      </right>
      <top style="thin">
        <color theme="0" tint="-0.14996795556505021"/>
      </top>
      <bottom/>
      <diagonal/>
    </border>
    <border>
      <left style="double">
        <color theme="0" tint="-0.14996795556505021"/>
      </left>
      <right style="thin">
        <color indexed="64"/>
      </right>
      <top style="thin">
        <color theme="0" tint="-0.14996795556505021"/>
      </top>
      <bottom/>
      <diagonal/>
    </border>
    <border>
      <left style="double">
        <color theme="0" tint="-0.14993743705557422"/>
      </left>
      <right style="thin">
        <color indexed="64"/>
      </right>
      <top style="thin">
        <color indexed="64"/>
      </top>
      <bottom/>
      <diagonal/>
    </border>
    <border>
      <left style="thin">
        <color indexed="64"/>
      </left>
      <right style="double">
        <color theme="0" tint="-0.14993743705557422"/>
      </right>
      <top style="thin">
        <color indexed="64"/>
      </top>
      <bottom/>
      <diagonal/>
    </border>
    <border>
      <left style="double">
        <color theme="0" tint="-0.14993743705557422"/>
      </left>
      <right style="thin">
        <color indexed="64"/>
      </right>
      <top style="thin">
        <color theme="0" tint="-0.14996795556505021"/>
      </top>
      <bottom style="thin">
        <color theme="0" tint="-0.14996795556505021"/>
      </bottom>
      <diagonal/>
    </border>
    <border>
      <left style="thin">
        <color indexed="64"/>
      </left>
      <right style="double">
        <color theme="0" tint="-0.14993743705557422"/>
      </right>
      <top style="thin">
        <color theme="0" tint="-0.14996795556505021"/>
      </top>
      <bottom style="thin">
        <color theme="0" tint="-0.14996795556505021"/>
      </bottom>
      <diagonal/>
    </border>
    <border>
      <left style="double">
        <color theme="0" tint="-0.14993743705557422"/>
      </left>
      <right style="thin">
        <color theme="1"/>
      </right>
      <top style="thin">
        <color theme="0" tint="-0.14996795556505021"/>
      </top>
      <bottom style="thin">
        <color theme="0" tint="-0.14996795556505021"/>
      </bottom>
      <diagonal/>
    </border>
    <border>
      <left/>
      <right style="double">
        <color theme="0" tint="-0.14993743705557422"/>
      </right>
      <top style="thin">
        <color theme="0" tint="-0.14996795556505021"/>
      </top>
      <bottom style="thin">
        <color theme="0" tint="-0.14996795556505021"/>
      </bottom>
      <diagonal/>
    </border>
    <border>
      <left style="double">
        <color theme="0" tint="-0.14993743705557422"/>
      </left>
      <right style="thin">
        <color indexed="64"/>
      </right>
      <top/>
      <bottom/>
      <diagonal/>
    </border>
    <border>
      <left style="thin">
        <color indexed="64"/>
      </left>
      <right style="double">
        <color theme="0" tint="-0.14993743705557422"/>
      </right>
      <top/>
      <bottom/>
      <diagonal/>
    </border>
    <border>
      <left style="double">
        <color theme="0" tint="-0.14993743705557422"/>
      </left>
      <right style="thin">
        <color indexed="64"/>
      </right>
      <top style="thin">
        <color auto="1"/>
      </top>
      <bottom style="thin">
        <color theme="0" tint="-0.14996795556505021"/>
      </bottom>
      <diagonal/>
    </border>
    <border>
      <left style="thin">
        <color indexed="64"/>
      </left>
      <right style="double">
        <color theme="0" tint="-0.14993743705557422"/>
      </right>
      <top style="thin">
        <color auto="1"/>
      </top>
      <bottom style="thin">
        <color theme="0" tint="-0.14996795556505021"/>
      </bottom>
      <diagonal/>
    </border>
    <border>
      <left style="thin">
        <color indexed="64"/>
      </left>
      <right/>
      <top style="thin">
        <color theme="0" tint="-0.14996795556505021"/>
      </top>
      <bottom style="thin">
        <color theme="0" tint="-0.14996795556505021"/>
      </bottom>
      <diagonal/>
    </border>
    <border>
      <left style="double">
        <color theme="0" tint="-0.14993743705557422"/>
      </left>
      <right style="thin">
        <color indexed="64"/>
      </right>
      <top/>
      <bottom style="thin">
        <color indexed="64"/>
      </bottom>
      <diagonal/>
    </border>
    <border>
      <left style="thin">
        <color indexed="64"/>
      </left>
      <right style="double">
        <color theme="0" tint="-0.14993743705557422"/>
      </right>
      <top/>
      <bottom style="thin">
        <color indexed="64"/>
      </bottom>
      <diagonal/>
    </border>
    <border>
      <left style="double">
        <color theme="0" tint="-0.14993743705557422"/>
      </left>
      <right style="thin">
        <color indexed="64"/>
      </right>
      <top style="thin">
        <color theme="0" tint="-0.14996795556505021"/>
      </top>
      <bottom/>
      <diagonal/>
    </border>
    <border>
      <left/>
      <right style="thin">
        <color theme="0" tint="-0.34998626667073579"/>
      </right>
      <top style="thin">
        <color indexed="64"/>
      </top>
      <bottom/>
      <diagonal/>
    </border>
    <border>
      <left/>
      <right style="thin">
        <color theme="0" tint="-0.34998626667073579"/>
      </right>
      <top style="thin">
        <color indexed="64"/>
      </top>
      <bottom style="thin">
        <color auto="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style="thin">
        <color auto="1"/>
      </right>
      <top style="thin">
        <color auto="1"/>
      </top>
      <bottom style="thin">
        <color theme="0" tint="-0.14996795556505021"/>
      </bottom>
      <diagonal/>
    </border>
    <border>
      <left/>
      <right style="thin">
        <color auto="1"/>
      </right>
      <top style="thin">
        <color theme="0" tint="-0.14996795556505021"/>
      </top>
      <bottom style="thin">
        <color indexed="64"/>
      </bottom>
      <diagonal/>
    </border>
    <border>
      <left style="thin">
        <color theme="0" tint="-0.34998626667073579"/>
      </left>
      <right style="thin">
        <color auto="1"/>
      </right>
      <top style="thin">
        <color indexed="64"/>
      </top>
      <bottom style="thin">
        <color indexed="64"/>
      </bottom>
      <diagonal/>
    </border>
    <border>
      <left style="thin">
        <color indexed="64"/>
      </left>
      <right style="thin">
        <color theme="0" tint="-0.34998626667073579"/>
      </right>
      <top style="thin">
        <color indexed="64"/>
      </top>
      <bottom style="thin">
        <color auto="1"/>
      </bottom>
      <diagonal/>
    </border>
    <border>
      <left style="thin">
        <color theme="0" tint="-0.34998626667073579"/>
      </left>
      <right style="thin">
        <color auto="1"/>
      </right>
      <top style="thin">
        <color indexed="64"/>
      </top>
      <bottom/>
      <diagonal/>
    </border>
    <border>
      <left style="thin">
        <color indexed="64"/>
      </left>
      <right style="thin">
        <color theme="0" tint="-0.34998626667073579"/>
      </right>
      <top style="thin">
        <color indexed="64"/>
      </top>
      <bottom/>
      <diagonal/>
    </border>
    <border>
      <left/>
      <right style="thin">
        <color theme="0" tint="-0.14996795556505021"/>
      </right>
      <top style="thin">
        <color indexed="64"/>
      </top>
      <bottom/>
      <diagonal/>
    </border>
    <border>
      <left/>
      <right style="thin">
        <color theme="0" tint="-0.14996795556505021"/>
      </right>
      <top style="thin">
        <color theme="0" tint="-0.34998626667073579"/>
      </top>
      <bottom style="thin">
        <color indexed="64"/>
      </bottom>
      <diagonal/>
    </border>
    <border>
      <left style="thin">
        <color indexed="22"/>
      </left>
      <right style="thin">
        <color theme="0" tint="-0.14996795556505021"/>
      </right>
      <top style="thin">
        <color theme="0" tint="-0.14996795556505021"/>
      </top>
      <bottom style="thin">
        <color theme="0" tint="-0.14996795556505021"/>
      </bottom>
      <diagonal/>
    </border>
    <border>
      <left style="thin">
        <color indexed="22"/>
      </left>
      <right style="thin">
        <color theme="0" tint="-0.14996795556505021"/>
      </right>
      <top/>
      <bottom style="thin">
        <color indexed="64"/>
      </bottom>
      <diagonal/>
    </border>
    <border>
      <left/>
      <right style="thin">
        <color theme="1"/>
      </right>
      <top style="thin">
        <color auto="1"/>
      </top>
      <bottom style="thin">
        <color indexed="64"/>
      </bottom>
      <diagonal/>
    </border>
    <border>
      <left/>
      <right style="thin">
        <color theme="0" tint="-0.14996795556505021"/>
      </right>
      <top style="thin">
        <color indexed="64"/>
      </top>
      <bottom style="thin">
        <color indexed="64"/>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top style="thin">
        <color theme="0" tint="-0.14996795556505021"/>
      </top>
      <bottom style="thin">
        <color theme="0" tint="-0.14996795556505021"/>
      </bottom>
      <diagonal/>
    </border>
    <border>
      <left style="thin">
        <color theme="0" tint="-0.14993743705557422"/>
      </left>
      <right style="thin">
        <color indexed="64"/>
      </right>
      <top style="thin">
        <color indexed="64"/>
      </top>
      <bottom style="thin">
        <color indexed="64"/>
      </bottom>
      <diagonal/>
    </border>
    <border>
      <left style="thin">
        <color indexed="64"/>
      </left>
      <right style="thin">
        <color theme="0" tint="-0.14996795556505021"/>
      </right>
      <top style="thin">
        <color indexed="64"/>
      </top>
      <bottom/>
      <diagonal/>
    </border>
    <border>
      <left style="thin">
        <color theme="0" tint="-0.14996795556505021"/>
      </left>
      <right style="thin">
        <color theme="0" tint="-0.14996795556505021"/>
      </right>
      <top style="thin">
        <color indexed="64"/>
      </top>
      <bottom/>
      <diagonal/>
    </border>
    <border>
      <left style="thin">
        <color theme="0" tint="-0.14996795556505021"/>
      </left>
      <right style="thin">
        <color indexed="64"/>
      </right>
      <top style="thin">
        <color indexed="64"/>
      </top>
      <bottom/>
      <diagonal/>
    </border>
    <border>
      <left style="thin">
        <color theme="0" tint="-0.34998626667073579"/>
      </left>
      <right style="thin">
        <color theme="0" tint="-0.34998626667073579"/>
      </right>
      <top style="thin">
        <color indexed="64"/>
      </top>
      <bottom/>
      <diagonal/>
    </border>
    <border>
      <left style="thin">
        <color indexed="64"/>
      </left>
      <right style="thin">
        <color theme="1" tint="0.499984740745262"/>
      </right>
      <top style="thin">
        <color indexed="64"/>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style="thin">
        <color theme="0" tint="-0.14996795556505021"/>
      </left>
      <right/>
      <top style="thin">
        <color indexed="64"/>
      </top>
      <bottom/>
      <diagonal/>
    </border>
    <border>
      <left style="thin">
        <color theme="0" tint="-0.14996795556505021"/>
      </left>
      <right/>
      <top/>
      <bottom style="thin">
        <color theme="0" tint="-0.34998626667073579"/>
      </bottom>
      <diagonal/>
    </border>
    <border>
      <left style="thin">
        <color theme="0" tint="-0.14996795556505021"/>
      </left>
      <right/>
      <top style="thin">
        <color theme="0" tint="-0.34998626667073579"/>
      </top>
      <bottom/>
      <diagonal/>
    </border>
    <border>
      <left style="thin">
        <color theme="0" tint="-0.14996795556505021"/>
      </left>
      <right style="thin">
        <color theme="0" tint="-0.34998626667073579"/>
      </right>
      <top style="thin">
        <color indexed="64"/>
      </top>
      <bottom/>
      <diagonal/>
    </border>
    <border>
      <left style="thin">
        <color theme="0" tint="-0.34998626667073579"/>
      </left>
      <right/>
      <top style="thin">
        <color indexed="64"/>
      </top>
      <bottom/>
      <diagonal/>
    </border>
    <border>
      <left style="thin">
        <color theme="1"/>
      </left>
      <right/>
      <top style="thin">
        <color auto="1"/>
      </top>
      <bottom style="thin">
        <color indexed="64"/>
      </bottom>
      <diagonal/>
    </border>
    <border>
      <left/>
      <right style="thin">
        <color theme="0" tint="-4.9989318521683403E-2"/>
      </right>
      <top style="thin">
        <color theme="0" tint="-0.14993743705557422"/>
      </top>
      <bottom style="thin">
        <color indexed="64"/>
      </bottom>
      <diagonal/>
    </border>
    <border>
      <left style="thin">
        <color theme="0" tint="-4.9989318521683403E-2"/>
      </left>
      <right style="thin">
        <color theme="0" tint="-4.9989318521683403E-2"/>
      </right>
      <top style="thin">
        <color theme="0" tint="-0.14993743705557422"/>
      </top>
      <bottom style="thin">
        <color indexed="64"/>
      </bottom>
      <diagonal/>
    </border>
    <border>
      <left style="thin">
        <color theme="0" tint="-4.9989318521683403E-2"/>
      </left>
      <right style="thin">
        <color theme="0" tint="-0.14996795556505021"/>
      </right>
      <top style="thin">
        <color theme="0" tint="-0.14993743705557422"/>
      </top>
      <bottom style="thin">
        <color indexed="64"/>
      </bottom>
      <diagonal/>
    </border>
    <border>
      <left style="thin">
        <color auto="1"/>
      </left>
      <right/>
      <top style="thin">
        <color theme="0" tint="-0.14996795556505021"/>
      </top>
      <bottom style="thin">
        <color theme="0" tint="-0.14996795556505021"/>
      </bottom>
      <diagonal/>
    </border>
    <border>
      <left/>
      <right style="thin">
        <color auto="1"/>
      </right>
      <top/>
      <bottom style="thin">
        <color indexed="64"/>
      </bottom>
      <diagonal/>
    </border>
    <border>
      <left style="thin">
        <color indexed="64"/>
      </left>
      <right/>
      <top style="thin">
        <color indexed="64"/>
      </top>
      <bottom style="thin">
        <color theme="0" tint="-0.24994659260841701"/>
      </bottom>
      <diagonal/>
    </border>
    <border>
      <left/>
      <right style="thin">
        <color auto="1"/>
      </right>
      <top style="thin">
        <color indexed="64"/>
      </top>
      <bottom style="thin">
        <color theme="0" tint="-0.24994659260841701"/>
      </bottom>
      <diagonal/>
    </border>
    <border>
      <left/>
      <right style="thin">
        <color auto="1"/>
      </right>
      <top style="thin">
        <color theme="0" tint="-0.24994659260841701"/>
      </top>
      <bottom style="thin">
        <color indexed="64"/>
      </bottom>
      <diagonal/>
    </border>
    <border>
      <left/>
      <right/>
      <top style="thin">
        <color theme="0" tint="-0.24994659260841701"/>
      </top>
      <bottom style="thin">
        <color indexed="64"/>
      </bottom>
      <diagonal/>
    </border>
    <border>
      <left style="double">
        <color theme="0" tint="-0.24994659260841701"/>
      </left>
      <right style="thin">
        <color auto="1"/>
      </right>
      <top style="thin">
        <color auto="1"/>
      </top>
      <bottom/>
      <diagonal/>
    </border>
    <border>
      <left style="thin">
        <color auto="1"/>
      </left>
      <right style="double">
        <color theme="0" tint="-0.24994659260841701"/>
      </right>
      <top style="thin">
        <color auto="1"/>
      </top>
      <bottom/>
      <diagonal/>
    </border>
    <border>
      <left style="double">
        <color theme="0" tint="-0.24994659260841701"/>
      </left>
      <right style="thin">
        <color auto="1"/>
      </right>
      <top style="thin">
        <color theme="0" tint="-0.14996795556505021"/>
      </top>
      <bottom style="thin">
        <color theme="0" tint="-0.14996795556505021"/>
      </bottom>
      <diagonal/>
    </border>
    <border>
      <left style="thin">
        <color auto="1"/>
      </left>
      <right style="double">
        <color theme="0" tint="-0.24994659260841701"/>
      </right>
      <top style="thin">
        <color theme="0" tint="-0.14996795556505021"/>
      </top>
      <bottom style="thin">
        <color theme="0" tint="-0.14996795556505021"/>
      </bottom>
      <diagonal/>
    </border>
    <border>
      <left style="double">
        <color theme="0" tint="-0.24994659260841701"/>
      </left>
      <right style="thin">
        <color auto="1"/>
      </right>
      <top/>
      <bottom/>
      <diagonal/>
    </border>
    <border>
      <left style="thin">
        <color auto="1"/>
      </left>
      <right style="double">
        <color theme="0" tint="-0.24994659260841701"/>
      </right>
      <top/>
      <bottom/>
      <diagonal/>
    </border>
    <border>
      <left style="double">
        <color theme="0" tint="-0.24994659260841701"/>
      </left>
      <right style="thin">
        <color auto="1"/>
      </right>
      <top style="thin">
        <color indexed="64"/>
      </top>
      <bottom style="thin">
        <color theme="0" tint="-0.24994659260841701"/>
      </bottom>
      <diagonal/>
    </border>
    <border>
      <left style="thin">
        <color auto="1"/>
      </left>
      <right style="double">
        <color theme="0" tint="-0.24994659260841701"/>
      </right>
      <top style="thin">
        <color indexed="64"/>
      </top>
      <bottom style="thin">
        <color theme="0" tint="-0.24994659260841701"/>
      </bottom>
      <diagonal/>
    </border>
    <border>
      <left style="thin">
        <color indexed="64"/>
      </left>
      <right style="thin">
        <color theme="0" tint="-0.14996795556505021"/>
      </right>
      <top style="thin">
        <color indexed="64"/>
      </top>
      <bottom style="thin">
        <color indexed="64"/>
      </bottom>
      <diagonal/>
    </border>
    <border>
      <left style="thin">
        <color auto="1"/>
      </left>
      <right style="double">
        <color theme="0" tint="-0.14996795556505021"/>
      </right>
      <top/>
      <bottom style="thin">
        <color auto="1"/>
      </bottom>
      <diagonal/>
    </border>
    <border>
      <left style="double">
        <color theme="0" tint="-0.14996795556505021"/>
      </left>
      <right style="thin">
        <color auto="1"/>
      </right>
      <top/>
      <bottom style="thin">
        <color auto="1"/>
      </bottom>
      <diagonal/>
    </border>
    <border>
      <left style="double">
        <color theme="0" tint="-0.14996795556505021"/>
      </left>
      <right/>
      <top/>
      <bottom style="thin">
        <color auto="1"/>
      </bottom>
      <diagonal/>
    </border>
    <border>
      <left style="thin">
        <color indexed="64"/>
      </left>
      <right style="thin">
        <color indexed="64"/>
      </right>
      <top style="thin">
        <color theme="0" tint="-0.499984740745262"/>
      </top>
      <bottom style="thin">
        <color theme="0" tint="-0.14996795556505021"/>
      </bottom>
      <diagonal/>
    </border>
    <border>
      <left style="thin">
        <color auto="1"/>
      </left>
      <right style="thin">
        <color theme="0" tint="-0.14993743705557422"/>
      </right>
      <top style="thin">
        <color theme="0" tint="-0.34998626667073579"/>
      </top>
      <bottom/>
      <diagonal/>
    </border>
    <border>
      <left style="thin">
        <color theme="0" tint="-0.14996795556505021"/>
      </left>
      <right/>
      <top style="thin">
        <color theme="0" tint="-0.499984740745262"/>
      </top>
      <bottom style="thin">
        <color theme="0" tint="-0.14993743705557422"/>
      </bottom>
      <diagonal/>
    </border>
    <border>
      <left style="thin">
        <color indexed="64"/>
      </left>
      <right style="thin">
        <color theme="0" tint="-0.14993743705557422"/>
      </right>
      <top style="thin">
        <color theme="0" tint="-0.499984740745262"/>
      </top>
      <bottom style="thin">
        <color theme="0" tint="-0.14993743705557422"/>
      </bottom>
      <diagonal/>
    </border>
    <border>
      <left/>
      <right style="thin">
        <color indexed="64"/>
      </right>
      <top style="thin">
        <color theme="0" tint="-0.499984740745262"/>
      </top>
      <bottom style="thin">
        <color theme="0" tint="-0.14996795556505021"/>
      </bottom>
      <diagonal/>
    </border>
    <border>
      <left/>
      <right style="thin">
        <color theme="0" tint="-0.34998626667073579"/>
      </right>
      <top/>
      <bottom style="thin">
        <color theme="0" tint="-0.24994659260841701"/>
      </bottom>
      <diagonal/>
    </border>
    <border>
      <left style="thin">
        <color indexed="22"/>
      </left>
      <right style="thin">
        <color indexed="22"/>
      </right>
      <top style="thin">
        <color indexed="22"/>
      </top>
      <bottom style="thin">
        <color indexed="22"/>
      </bottom>
      <diagonal/>
    </border>
    <border>
      <left/>
      <right/>
      <top/>
      <bottom style="thin">
        <color auto="1"/>
      </bottom>
      <diagonal/>
    </border>
    <border>
      <left style="thin">
        <color theme="0" tint="-0.34998626667073579"/>
      </left>
      <right style="thin">
        <color indexed="64"/>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top style="thin">
        <color indexed="8"/>
      </top>
      <bottom/>
      <diagonal/>
    </border>
    <border>
      <left style="thin">
        <color auto="1"/>
      </left>
      <right style="thin">
        <color theme="0" tint="-0.14996795556505021"/>
      </right>
      <top style="thin">
        <color theme="0" tint="-0.14996795556505021"/>
      </top>
      <bottom style="thin">
        <color theme="0" tint="-0.14996795556505021"/>
      </bottom>
      <diagonal/>
    </border>
    <border>
      <left style="thin">
        <color indexed="64"/>
      </left>
      <right/>
      <top style="thin">
        <color indexed="64"/>
      </top>
      <bottom style="thin">
        <color auto="1"/>
      </bottom>
      <diagonal/>
    </border>
    <border>
      <left/>
      <right style="thin">
        <color indexed="64"/>
      </right>
      <top style="thin">
        <color indexed="64"/>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auto="1"/>
      </right>
      <top style="thin">
        <color theme="0" tint="-0.24994659260841701"/>
      </top>
      <bottom/>
      <diagonal/>
    </border>
    <border>
      <left style="double">
        <color indexed="64"/>
      </left>
      <right style="thin">
        <color auto="1"/>
      </right>
      <top/>
      <bottom style="thin">
        <color theme="0" tint="-0.24994659260841701"/>
      </bottom>
      <diagonal/>
    </border>
    <border>
      <left style="double">
        <color indexed="64"/>
      </left>
      <right style="thin">
        <color auto="1"/>
      </right>
      <top/>
      <bottom/>
      <diagonal/>
    </border>
    <border>
      <left style="double">
        <color indexed="64"/>
      </left>
      <right style="thin">
        <color auto="1"/>
      </right>
      <top style="thin">
        <color theme="0" tint="-0.24994659260841701"/>
      </top>
      <bottom style="thin">
        <color indexed="64"/>
      </bottom>
      <diagonal/>
    </border>
    <border>
      <left style="double">
        <color indexed="64"/>
      </left>
      <right style="thin">
        <color auto="1"/>
      </right>
      <top style="thin">
        <color indexed="64"/>
      </top>
      <bottom style="thin">
        <color theme="0" tint="-0.24994659260841701"/>
      </bottom>
      <diagonal/>
    </border>
    <border>
      <left style="double">
        <color indexed="64"/>
      </left>
      <right style="thin">
        <color auto="1"/>
      </right>
      <top/>
      <bottom style="thin">
        <color indexed="64"/>
      </bottom>
      <diagonal/>
    </border>
    <border>
      <left style="double">
        <color indexed="64"/>
      </left>
      <right style="thin">
        <color auto="1"/>
      </right>
      <top style="thin">
        <color indexed="64"/>
      </top>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theme="0" tint="-0.34998626667073579"/>
      </right>
      <top/>
      <bottom style="thin">
        <color indexed="64"/>
      </bottom>
      <diagonal/>
    </border>
    <border>
      <left style="thin">
        <color indexed="64"/>
      </left>
      <right style="double">
        <color indexed="64"/>
      </right>
      <top/>
      <bottom style="thin">
        <color theme="0" tint="-0.24994659260841701"/>
      </bottom>
      <diagonal/>
    </border>
    <border>
      <left style="double">
        <color indexed="64"/>
      </left>
      <right style="thin">
        <color auto="1"/>
      </right>
      <top/>
      <bottom style="thin">
        <color theme="0" tint="-0.14996795556505021"/>
      </bottom>
      <diagonal/>
    </border>
    <border>
      <left style="thin">
        <color indexed="10"/>
      </left>
      <right/>
      <top/>
      <bottom style="thin">
        <color indexed="10"/>
      </bottom>
      <diagonal/>
    </border>
    <border>
      <left/>
      <right/>
      <top/>
      <bottom style="thin">
        <color indexed="10"/>
      </bottom>
      <diagonal/>
    </border>
    <border>
      <left/>
      <right style="thin">
        <color indexed="10"/>
      </right>
      <top/>
      <bottom style="thin">
        <color indexed="10"/>
      </bottom>
      <diagonal/>
    </border>
    <border>
      <left/>
      <right/>
      <top/>
      <bottom style="thin">
        <color indexed="64"/>
      </bottom>
      <diagonal/>
    </border>
    <border>
      <left style="thin">
        <color indexed="64"/>
      </left>
      <right/>
      <top/>
      <bottom style="thin">
        <color indexed="64"/>
      </bottom>
      <diagonal/>
    </border>
    <border>
      <left/>
      <right style="thin">
        <color auto="1"/>
      </right>
      <top/>
      <bottom style="thin">
        <color indexed="64"/>
      </bottom>
      <diagonal/>
    </border>
    <border>
      <left style="thin">
        <color auto="1"/>
      </left>
      <right/>
      <top style="thin">
        <color auto="1"/>
      </top>
      <bottom style="thin">
        <color theme="0" tint="-0.14996795556505021"/>
      </bottom>
      <diagonal/>
    </border>
    <border>
      <left/>
      <right style="thin">
        <color indexed="64"/>
      </right>
      <top style="thin">
        <color auto="1"/>
      </top>
      <bottom style="thin">
        <color theme="0" tint="-0.14996795556505021"/>
      </bottom>
      <diagonal/>
    </border>
    <border>
      <left style="thin">
        <color indexed="64"/>
      </left>
      <right style="thin">
        <color theme="0" tint="-0.34998626667073579"/>
      </right>
      <top style="thin">
        <color auto="1"/>
      </top>
      <bottom style="thin">
        <color theme="0" tint="-0.14996795556505021"/>
      </bottom>
      <diagonal/>
    </border>
    <border>
      <left style="thin">
        <color indexed="64"/>
      </left>
      <right style="thin">
        <color indexed="64"/>
      </right>
      <top style="thin">
        <color auto="1"/>
      </top>
      <bottom style="thin">
        <color theme="0" tint="-0.1499679555650502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thin">
        <color indexed="64"/>
      </left>
      <right style="thin">
        <color indexed="64"/>
      </right>
      <top style="thin">
        <color indexed="64"/>
      </top>
      <bottom/>
      <diagonal/>
    </border>
  </borders>
  <cellStyleXfs count="2195">
    <xf numFmtId="0" fontId="0" fillId="0" borderId="0"/>
    <xf numFmtId="0" fontId="1" fillId="0" borderId="0"/>
    <xf numFmtId="0" fontId="5" fillId="0" borderId="0"/>
    <xf numFmtId="0" fontId="12" fillId="0" borderId="0">
      <alignment vertical="top"/>
      <protection locked="0"/>
    </xf>
    <xf numFmtId="0" fontId="18" fillId="0" borderId="0"/>
    <xf numFmtId="0" fontId="1" fillId="0" borderId="0"/>
    <xf numFmtId="0" fontId="1" fillId="0" borderId="0"/>
    <xf numFmtId="0" fontId="5" fillId="0" borderId="0"/>
    <xf numFmtId="0" fontId="79" fillId="19" borderId="0"/>
    <xf numFmtId="0" fontId="79" fillId="20" borderId="0"/>
    <xf numFmtId="0" fontId="79" fillId="20" borderId="0"/>
    <xf numFmtId="0" fontId="79" fillId="20" borderId="0"/>
    <xf numFmtId="0" fontId="79" fillId="20" borderId="0"/>
    <xf numFmtId="0" fontId="79" fillId="20" borderId="0"/>
    <xf numFmtId="0" fontId="79" fillId="17" borderId="0"/>
    <xf numFmtId="0" fontId="79" fillId="21" borderId="0"/>
    <xf numFmtId="0" fontId="79" fillId="21" borderId="0"/>
    <xf numFmtId="0" fontId="79" fillId="21" borderId="0"/>
    <xf numFmtId="0" fontId="79" fillId="21" borderId="0"/>
    <xf numFmtId="0" fontId="79" fillId="21" borderId="0"/>
    <xf numFmtId="0" fontId="79" fillId="22" borderId="0"/>
    <xf numFmtId="0" fontId="79" fillId="23" borderId="0"/>
    <xf numFmtId="0" fontId="79" fillId="23" borderId="0"/>
    <xf numFmtId="0" fontId="79" fillId="23" borderId="0"/>
    <xf numFmtId="0" fontId="79" fillId="23" borderId="0"/>
    <xf numFmtId="0" fontId="79" fillId="23" borderId="0"/>
    <xf numFmtId="0" fontId="79" fillId="24" borderId="0"/>
    <xf numFmtId="0" fontId="79" fillId="25" borderId="0"/>
    <xf numFmtId="0" fontId="79" fillId="25" borderId="0"/>
    <xf numFmtId="0" fontId="79" fillId="25" borderId="0"/>
    <xf numFmtId="0" fontId="79" fillId="25" borderId="0"/>
    <xf numFmtId="0" fontId="79" fillId="25" borderId="0"/>
    <xf numFmtId="0" fontId="79" fillId="7" borderId="0"/>
    <xf numFmtId="0" fontId="79" fillId="26" borderId="0"/>
    <xf numFmtId="0" fontId="79" fillId="26" borderId="0"/>
    <xf numFmtId="0" fontId="79" fillId="26" borderId="0"/>
    <xf numFmtId="0" fontId="79" fillId="26" borderId="0"/>
    <xf numFmtId="0" fontId="79" fillId="26" borderId="0"/>
    <xf numFmtId="0" fontId="79" fillId="27" borderId="0"/>
    <xf numFmtId="0" fontId="79" fillId="28" borderId="0"/>
    <xf numFmtId="0" fontId="79" fillId="28" borderId="0"/>
    <xf numFmtId="0" fontId="79" fillId="28" borderId="0"/>
    <xf numFmtId="0" fontId="79" fillId="28" borderId="0"/>
    <xf numFmtId="0" fontId="79" fillId="28" borderId="0"/>
    <xf numFmtId="0" fontId="79" fillId="29" borderId="0"/>
    <xf numFmtId="0" fontId="79" fillId="30" borderId="0"/>
    <xf numFmtId="0" fontId="79" fillId="30" borderId="0"/>
    <xf numFmtId="0" fontId="79" fillId="30" borderId="0"/>
    <xf numFmtId="0" fontId="79" fillId="30" borderId="0"/>
    <xf numFmtId="0" fontId="79" fillId="30" borderId="0"/>
    <xf numFmtId="0" fontId="79" fillId="31" borderId="0"/>
    <xf numFmtId="0" fontId="79" fillId="32" borderId="0"/>
    <xf numFmtId="0" fontId="79" fillId="32" borderId="0"/>
    <xf numFmtId="0" fontId="79" fillId="32" borderId="0"/>
    <xf numFmtId="0" fontId="79" fillId="32" borderId="0"/>
    <xf numFmtId="0" fontId="79" fillId="32" borderId="0"/>
    <xf numFmtId="0" fontId="79" fillId="33" borderId="0"/>
    <xf numFmtId="0" fontId="79" fillId="34" borderId="0"/>
    <xf numFmtId="0" fontId="79" fillId="34" borderId="0"/>
    <xf numFmtId="0" fontId="79" fillId="34" borderId="0"/>
    <xf numFmtId="0" fontId="79" fillId="34" borderId="0"/>
    <xf numFmtId="0" fontId="79" fillId="34" borderId="0"/>
    <xf numFmtId="0" fontId="79" fillId="24" borderId="0"/>
    <xf numFmtId="0" fontId="79" fillId="25" borderId="0"/>
    <xf numFmtId="0" fontId="79" fillId="25" borderId="0"/>
    <xf numFmtId="0" fontId="79" fillId="25" borderId="0"/>
    <xf numFmtId="0" fontId="79" fillId="25" borderId="0"/>
    <xf numFmtId="0" fontId="79" fillId="25" borderId="0"/>
    <xf numFmtId="0" fontId="79" fillId="29" borderId="0"/>
    <xf numFmtId="0" fontId="79" fillId="30" borderId="0"/>
    <xf numFmtId="0" fontId="79" fillId="30" borderId="0"/>
    <xf numFmtId="0" fontId="79" fillId="30" borderId="0"/>
    <xf numFmtId="0" fontId="79" fillId="30" borderId="0"/>
    <xf numFmtId="0" fontId="79" fillId="30" borderId="0"/>
    <xf numFmtId="0" fontId="79" fillId="35" borderId="0"/>
    <xf numFmtId="0" fontId="79" fillId="36" borderId="0"/>
    <xf numFmtId="0" fontId="79" fillId="36" borderId="0"/>
    <xf numFmtId="0" fontId="79" fillId="36" borderId="0"/>
    <xf numFmtId="0" fontId="79" fillId="36" borderId="0"/>
    <xf numFmtId="0" fontId="79" fillId="36" borderId="0"/>
    <xf numFmtId="0" fontId="80" fillId="37" borderId="106"/>
    <xf numFmtId="0" fontId="80" fillId="37" borderId="106"/>
    <xf numFmtId="0" fontId="80" fillId="37" borderId="106"/>
    <xf numFmtId="0" fontId="80" fillId="37" borderId="106"/>
    <xf numFmtId="0" fontId="80" fillId="37" borderId="106"/>
    <xf numFmtId="0" fontId="80" fillId="37" borderId="106"/>
    <xf numFmtId="0" fontId="80" fillId="37" borderId="106"/>
    <xf numFmtId="0" fontId="80" fillId="37" borderId="106"/>
    <xf numFmtId="0" fontId="80" fillId="37" borderId="106"/>
    <xf numFmtId="0" fontId="80" fillId="37" borderId="106"/>
    <xf numFmtId="0" fontId="80" fillId="37" borderId="106"/>
    <xf numFmtId="0" fontId="80" fillId="37" borderId="106"/>
    <xf numFmtId="0" fontId="80" fillId="37" borderId="106"/>
    <xf numFmtId="0" fontId="81" fillId="0" borderId="107"/>
    <xf numFmtId="0" fontId="81" fillId="0" borderId="107"/>
    <xf numFmtId="0" fontId="81" fillId="0" borderId="107"/>
    <xf numFmtId="0" fontId="81" fillId="0" borderId="107"/>
    <xf numFmtId="0" fontId="81" fillId="0" borderId="107"/>
    <xf numFmtId="0" fontId="82" fillId="0" borderId="108"/>
    <xf numFmtId="0" fontId="82" fillId="0" borderId="108"/>
    <xf numFmtId="0" fontId="82" fillId="0" borderId="108"/>
    <xf numFmtId="0" fontId="82" fillId="0" borderId="108"/>
    <xf numFmtId="0" fontId="82" fillId="0" borderId="108"/>
    <xf numFmtId="0" fontId="12" fillId="0" borderId="0">
      <alignment vertical="top"/>
      <protection locked="0"/>
    </xf>
    <xf numFmtId="0" fontId="83" fillId="0" borderId="0" applyNumberFormat="0" applyFill="0" applyBorder="0" applyAlignment="0" applyProtection="0"/>
    <xf numFmtId="0" fontId="84" fillId="28" borderId="106"/>
    <xf numFmtId="0" fontId="84" fillId="28" borderId="106"/>
    <xf numFmtId="0" fontId="84" fillId="28" borderId="106"/>
    <xf numFmtId="0" fontId="84" fillId="28" borderId="106"/>
    <xf numFmtId="0" fontId="84" fillId="28" borderId="106"/>
    <xf numFmtId="0" fontId="84" fillId="28" borderId="106"/>
    <xf numFmtId="0" fontId="84" fillId="28" borderId="106"/>
    <xf numFmtId="0" fontId="84" fillId="28" borderId="106"/>
    <xf numFmtId="0" fontId="84" fillId="28" borderId="106"/>
    <xf numFmtId="0" fontId="84" fillId="28" borderId="106"/>
    <xf numFmtId="0" fontId="84" fillId="28" borderId="106"/>
    <xf numFmtId="0" fontId="84" fillId="28" borderId="106"/>
    <xf numFmtId="0" fontId="84" fillId="28" borderId="106"/>
    <xf numFmtId="0" fontId="8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 fillId="38" borderId="109"/>
    <xf numFmtId="0" fontId="1" fillId="38" borderId="109"/>
    <xf numFmtId="0" fontId="1" fillId="38" borderId="109"/>
    <xf numFmtId="0" fontId="1" fillId="39" borderId="109"/>
    <xf numFmtId="0" fontId="1" fillId="39" borderId="109"/>
    <xf numFmtId="0" fontId="1" fillId="39" borderId="109"/>
    <xf numFmtId="0" fontId="1" fillId="39" borderId="109"/>
    <xf numFmtId="0" fontId="1" fillId="39" borderId="109"/>
    <xf numFmtId="0" fontId="1" fillId="39" borderId="109"/>
    <xf numFmtId="0" fontId="1" fillId="39" borderId="109"/>
    <xf numFmtId="0" fontId="1" fillId="39" borderId="109"/>
    <xf numFmtId="0" fontId="1" fillId="39" borderId="109"/>
    <xf numFmtId="0" fontId="1" fillId="39" borderId="109"/>
    <xf numFmtId="0" fontId="1" fillId="38" borderId="109"/>
    <xf numFmtId="0" fontId="1" fillId="39" borderId="109"/>
    <xf numFmtId="0" fontId="1" fillId="39" borderId="109"/>
    <xf numFmtId="0" fontId="1" fillId="39" borderId="109"/>
    <xf numFmtId="0" fontId="1" fillId="39" borderId="109"/>
    <xf numFmtId="0" fontId="1" fillId="39" borderId="109"/>
    <xf numFmtId="0" fontId="1" fillId="39" borderId="109"/>
    <xf numFmtId="0" fontId="1" fillId="39" borderId="109"/>
    <xf numFmtId="0" fontId="1" fillId="39" borderId="109"/>
    <xf numFmtId="0" fontId="1" fillId="39" borderId="109"/>
    <xf numFmtId="0" fontId="1" fillId="39" borderId="109"/>
    <xf numFmtId="0" fontId="1" fillId="39" borderId="109"/>
    <xf numFmtId="0" fontId="1" fillId="39" borderId="109"/>
    <xf numFmtId="0" fontId="1" fillId="39" borderId="109"/>
    <xf numFmtId="0" fontId="87" fillId="37" borderId="110"/>
    <xf numFmtId="0" fontId="87" fillId="37" borderId="110"/>
    <xf numFmtId="0" fontId="87" fillId="37" borderId="110"/>
    <xf numFmtId="0" fontId="87" fillId="37" borderId="110"/>
    <xf numFmtId="0" fontId="87" fillId="37" borderId="110"/>
    <xf numFmtId="0" fontId="87" fillId="37" borderId="110"/>
    <xf numFmtId="0" fontId="87" fillId="37" borderId="110"/>
    <xf numFmtId="0" fontId="87" fillId="37" borderId="110"/>
    <xf numFmtId="0" fontId="87" fillId="37" borderId="110"/>
    <xf numFmtId="0" fontId="87" fillId="37" borderId="110"/>
    <xf numFmtId="0" fontId="87" fillId="37" borderId="110"/>
    <xf numFmtId="0" fontId="87" fillId="37" borderId="110"/>
    <xf numFmtId="0" fontId="87" fillId="37" borderId="110"/>
    <xf numFmtId="9" fontId="79"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0" fontId="88" fillId="0" borderId="111"/>
    <xf numFmtId="0" fontId="88" fillId="0" borderId="111"/>
    <xf numFmtId="0" fontId="88" fillId="0" borderId="111"/>
    <xf numFmtId="0" fontId="88" fillId="0" borderId="111"/>
    <xf numFmtId="0" fontId="88" fillId="0" borderId="111"/>
    <xf numFmtId="0" fontId="88" fillId="0" borderId="111"/>
    <xf numFmtId="0" fontId="88" fillId="0" borderId="111"/>
    <xf numFmtId="0" fontId="88" fillId="0" borderId="111"/>
    <xf numFmtId="0" fontId="88" fillId="0" borderId="111"/>
    <xf numFmtId="0" fontId="88" fillId="0" borderId="111"/>
    <xf numFmtId="0" fontId="88" fillId="0" borderId="111"/>
    <xf numFmtId="0" fontId="88" fillId="0" borderId="111"/>
    <xf numFmtId="0" fontId="88" fillId="0" borderId="111"/>
    <xf numFmtId="43" fontId="1" fillId="0" borderId="0" applyFont="0" applyFill="0" applyBorder="0" applyAlignment="0" applyProtection="0"/>
    <xf numFmtId="0" fontId="89" fillId="0" borderId="0"/>
    <xf numFmtId="165" fontId="1" fillId="0" borderId="0"/>
    <xf numFmtId="0" fontId="1" fillId="0" borderId="0"/>
    <xf numFmtId="0" fontId="136" fillId="0" borderId="0"/>
    <xf numFmtId="0" fontId="144" fillId="0" borderId="0"/>
    <xf numFmtId="0" fontId="145" fillId="0" borderId="0"/>
    <xf numFmtId="0" fontId="80" fillId="37" borderId="160"/>
    <xf numFmtId="0" fontId="80" fillId="37" borderId="160"/>
    <xf numFmtId="0" fontId="80" fillId="37" borderId="160"/>
    <xf numFmtId="0" fontId="80" fillId="37" borderId="160"/>
    <xf numFmtId="0" fontId="80" fillId="37" borderId="160"/>
    <xf numFmtId="0" fontId="80" fillId="37" borderId="160"/>
    <xf numFmtId="0" fontId="80" fillId="37" borderId="160"/>
    <xf numFmtId="0" fontId="80" fillId="37" borderId="160"/>
    <xf numFmtId="0" fontId="80" fillId="37" borderId="160"/>
    <xf numFmtId="0" fontId="80" fillId="37" borderId="160"/>
    <xf numFmtId="0" fontId="80" fillId="37" borderId="160"/>
    <xf numFmtId="0" fontId="80" fillId="37" borderId="160"/>
    <xf numFmtId="0" fontId="80" fillId="37" borderId="160"/>
    <xf numFmtId="0" fontId="84" fillId="28" borderId="160"/>
    <xf numFmtId="0" fontId="84" fillId="28" borderId="160"/>
    <xf numFmtId="0" fontId="84" fillId="28" borderId="160"/>
    <xf numFmtId="0" fontId="84" fillId="28" borderId="160"/>
    <xf numFmtId="0" fontId="84" fillId="28" borderId="160"/>
    <xf numFmtId="0" fontId="84" fillId="28" borderId="160"/>
    <xf numFmtId="0" fontId="84" fillId="28" borderId="160"/>
    <xf numFmtId="0" fontId="84" fillId="28" borderId="160"/>
    <xf numFmtId="0" fontId="84" fillId="28" borderId="160"/>
    <xf numFmtId="0" fontId="84" fillId="28" borderId="160"/>
    <xf numFmtId="0" fontId="84" fillId="28" borderId="160"/>
    <xf numFmtId="0" fontId="84" fillId="28" borderId="160"/>
    <xf numFmtId="0" fontId="84" fillId="28" borderId="160"/>
    <xf numFmtId="0" fontId="1" fillId="38" borderId="161"/>
    <xf numFmtId="0" fontId="1" fillId="38" borderId="161"/>
    <xf numFmtId="0" fontId="1" fillId="38" borderId="161"/>
    <xf numFmtId="0" fontId="1" fillId="39" borderId="161"/>
    <xf numFmtId="0" fontId="1" fillId="39" borderId="161"/>
    <xf numFmtId="0" fontId="1" fillId="39" borderId="161"/>
    <xf numFmtId="0" fontId="1" fillId="39" borderId="161"/>
    <xf numFmtId="0" fontId="1" fillId="39" borderId="161"/>
    <xf numFmtId="0" fontId="1" fillId="39" borderId="161"/>
    <xf numFmtId="0" fontId="1" fillId="39" borderId="161"/>
    <xf numFmtId="0" fontId="1" fillId="39" borderId="161"/>
    <xf numFmtId="0" fontId="1" fillId="39" borderId="161"/>
    <xf numFmtId="0" fontId="1" fillId="39" borderId="161"/>
    <xf numFmtId="0" fontId="1" fillId="38" borderId="161"/>
    <xf numFmtId="0" fontId="1" fillId="39" borderId="161"/>
    <xf numFmtId="0" fontId="1" fillId="39" borderId="161"/>
    <xf numFmtId="0" fontId="1" fillId="39" borderId="161"/>
    <xf numFmtId="0" fontId="1" fillId="39" borderId="161"/>
    <xf numFmtId="0" fontId="1" fillId="39" borderId="161"/>
    <xf numFmtId="0" fontId="1" fillId="39" borderId="161"/>
    <xf numFmtId="0" fontId="1" fillId="39" borderId="161"/>
    <xf numFmtId="0" fontId="1" fillId="39" borderId="161"/>
    <xf numFmtId="0" fontId="1" fillId="39" borderId="161"/>
    <xf numFmtId="0" fontId="1" fillId="39" borderId="161"/>
    <xf numFmtId="0" fontId="1" fillId="39" borderId="161"/>
    <xf numFmtId="0" fontId="1" fillId="39" borderId="161"/>
    <xf numFmtId="0" fontId="1" fillId="39" borderId="161"/>
    <xf numFmtId="0" fontId="87" fillId="37" borderId="162"/>
    <xf numFmtId="0" fontId="87" fillId="37" borderId="162"/>
    <xf numFmtId="0" fontId="87" fillId="37" borderId="162"/>
    <xf numFmtId="0" fontId="87" fillId="37" borderId="162"/>
    <xf numFmtId="0" fontId="87" fillId="37" borderId="162"/>
    <xf numFmtId="0" fontId="87" fillId="37" borderId="162"/>
    <xf numFmtId="0" fontId="87" fillId="37" borderId="162"/>
    <xf numFmtId="0" fontId="87" fillId="37" borderId="162"/>
    <xf numFmtId="0" fontId="87" fillId="37" borderId="162"/>
    <xf numFmtId="0" fontId="87" fillId="37" borderId="162"/>
    <xf numFmtId="0" fontId="87" fillId="37" borderId="162"/>
    <xf numFmtId="0" fontId="87" fillId="37" borderId="162"/>
    <xf numFmtId="0" fontId="87" fillId="37" borderId="162"/>
    <xf numFmtId="0" fontId="88" fillId="0" borderId="163"/>
    <xf numFmtId="0" fontId="88" fillId="0" borderId="163"/>
    <xf numFmtId="0" fontId="88" fillId="0" borderId="163"/>
    <xf numFmtId="0" fontId="88" fillId="0" borderId="163"/>
    <xf numFmtId="0" fontId="88" fillId="0" borderId="163"/>
    <xf numFmtId="0" fontId="88" fillId="0" borderId="163"/>
    <xf numFmtId="0" fontId="88" fillId="0" borderId="163"/>
    <xf numFmtId="0" fontId="88" fillId="0" borderId="163"/>
    <xf numFmtId="0" fontId="88" fillId="0" borderId="163"/>
    <xf numFmtId="0" fontId="88" fillId="0" borderId="163"/>
    <xf numFmtId="0" fontId="88" fillId="0" borderId="163"/>
    <xf numFmtId="0" fontId="88" fillId="0" borderId="163"/>
    <xf numFmtId="0" fontId="88" fillId="0" borderId="163"/>
    <xf numFmtId="0" fontId="1" fillId="0" borderId="0"/>
    <xf numFmtId="0" fontId="85" fillId="0" borderId="0"/>
    <xf numFmtId="0" fontId="85" fillId="0" borderId="0"/>
    <xf numFmtId="0" fontId="1" fillId="0" borderId="0"/>
    <xf numFmtId="0" fontId="1" fillId="0" borderId="0"/>
    <xf numFmtId="0" fontId="1" fillId="0" borderId="0"/>
    <xf numFmtId="0" fontId="5" fillId="0" borderId="0"/>
    <xf numFmtId="0" fontId="79" fillId="20" borderId="0"/>
    <xf numFmtId="0" fontId="79" fillId="21" borderId="0"/>
    <xf numFmtId="0" fontId="79" fillId="23" borderId="0"/>
    <xf numFmtId="0" fontId="79" fillId="25" borderId="0"/>
    <xf numFmtId="0" fontId="79" fillId="26" borderId="0"/>
    <xf numFmtId="0" fontId="79" fillId="28" borderId="0"/>
    <xf numFmtId="0" fontId="79" fillId="30" borderId="0"/>
    <xf numFmtId="0" fontId="79" fillId="32" borderId="0"/>
    <xf numFmtId="0" fontId="79" fillId="34" borderId="0"/>
    <xf numFmtId="0" fontId="79" fillId="25" borderId="0"/>
    <xf numFmtId="0" fontId="79" fillId="30" borderId="0"/>
    <xf numFmtId="0" fontId="79" fillId="36" borderId="0"/>
    <xf numFmtId="0" fontId="184" fillId="51" borderId="0"/>
    <xf numFmtId="0" fontId="184" fillId="32" borderId="0"/>
    <xf numFmtId="0" fontId="184" fillId="34" borderId="0"/>
    <xf numFmtId="0" fontId="184" fillId="52" borderId="0"/>
    <xf numFmtId="0" fontId="184" fillId="53" borderId="0"/>
    <xf numFmtId="0" fontId="184" fillId="41" borderId="0"/>
    <xf numFmtId="0" fontId="184" fillId="54" borderId="0"/>
    <xf numFmtId="0" fontId="184" fillId="55" borderId="0"/>
    <xf numFmtId="0" fontId="184" fillId="56" borderId="0"/>
    <xf numFmtId="0" fontId="184" fillId="52" borderId="0"/>
    <xf numFmtId="0" fontId="184" fillId="53" borderId="0"/>
    <xf numFmtId="0" fontId="184" fillId="57" borderId="0"/>
    <xf numFmtId="0" fontId="185" fillId="21" borderId="0"/>
    <xf numFmtId="0" fontId="80" fillId="37" borderId="311"/>
    <xf numFmtId="0" fontId="186" fillId="58" borderId="312"/>
    <xf numFmtId="0" fontId="187" fillId="0" borderId="0"/>
    <xf numFmtId="0" fontId="188" fillId="23" borderId="0"/>
    <xf numFmtId="0" fontId="81" fillId="0" borderId="313"/>
    <xf numFmtId="0" fontId="82" fillId="0" borderId="314"/>
    <xf numFmtId="0" fontId="189" fillId="0" borderId="315"/>
    <xf numFmtId="0" fontId="189" fillId="0" borderId="0"/>
    <xf numFmtId="0" fontId="84" fillId="28" borderId="311"/>
    <xf numFmtId="0" fontId="190" fillId="0" borderId="316"/>
    <xf numFmtId="0" fontId="191" fillId="13" borderId="0"/>
    <xf numFmtId="0" fontId="1" fillId="39" borderId="317"/>
    <xf numFmtId="0" fontId="1" fillId="38" borderId="317"/>
    <xf numFmtId="0" fontId="87" fillId="37" borderId="318"/>
    <xf numFmtId="0" fontId="192" fillId="0" borderId="0"/>
    <xf numFmtId="0" fontId="88" fillId="0" borderId="319"/>
    <xf numFmtId="0" fontId="193" fillId="0" borderId="0"/>
    <xf numFmtId="0" fontId="80" fillId="37" borderId="320"/>
    <xf numFmtId="0" fontId="84" fillId="28" borderId="320"/>
    <xf numFmtId="0" fontId="1" fillId="39" borderId="321"/>
    <xf numFmtId="0" fontId="1" fillId="38" borderId="321"/>
    <xf numFmtId="0" fontId="87" fillId="37" borderId="322"/>
    <xf numFmtId="0" fontId="88" fillId="0" borderId="323"/>
    <xf numFmtId="0" fontId="80" fillId="37" borderId="320"/>
    <xf numFmtId="0" fontId="80" fillId="37" borderId="320"/>
    <xf numFmtId="0" fontId="80" fillId="37" borderId="320"/>
    <xf numFmtId="0" fontId="84" fillId="28" borderId="320"/>
    <xf numFmtId="0" fontId="84" fillId="28" borderId="320"/>
    <xf numFmtId="0" fontId="80" fillId="37" borderId="320"/>
    <xf numFmtId="0" fontId="1" fillId="39" borderId="321"/>
    <xf numFmtId="0" fontId="1" fillId="39" borderId="321"/>
    <xf numFmtId="0" fontId="87" fillId="37" borderId="322"/>
    <xf numFmtId="0" fontId="88" fillId="0" borderId="323"/>
    <xf numFmtId="0" fontId="80" fillId="37" borderId="320"/>
    <xf numFmtId="0" fontId="84" fillId="28" borderId="320"/>
    <xf numFmtId="0" fontId="84" fillId="28" borderId="320"/>
    <xf numFmtId="0" fontId="1" fillId="39" borderId="321"/>
    <xf numFmtId="0" fontId="1" fillId="39" borderId="321"/>
    <xf numFmtId="0" fontId="87" fillId="37" borderId="322"/>
    <xf numFmtId="0" fontId="88" fillId="0" borderId="323"/>
    <xf numFmtId="0" fontId="1" fillId="39" borderId="321"/>
    <xf numFmtId="0" fontId="1" fillId="39" borderId="321"/>
    <xf numFmtId="0" fontId="87" fillId="37" borderId="322"/>
    <xf numFmtId="0" fontId="88" fillId="0" borderId="323"/>
    <xf numFmtId="0" fontId="1" fillId="39" borderId="321"/>
    <xf numFmtId="0" fontId="1" fillId="39" borderId="321"/>
    <xf numFmtId="0" fontId="87" fillId="37" borderId="322"/>
    <xf numFmtId="0" fontId="88" fillId="0" borderId="323"/>
    <xf numFmtId="0" fontId="84" fillId="28" borderId="320"/>
    <xf numFmtId="0" fontId="1" fillId="39" borderId="321"/>
    <xf numFmtId="0" fontId="1" fillId="39" borderId="321"/>
    <xf numFmtId="0" fontId="87" fillId="37" borderId="322"/>
    <xf numFmtId="0" fontId="88" fillId="0" borderId="323"/>
    <xf numFmtId="0" fontId="80" fillId="37" borderId="320"/>
    <xf numFmtId="0" fontId="84" fillId="28" borderId="320"/>
    <xf numFmtId="0" fontId="1" fillId="39" borderId="321"/>
    <xf numFmtId="0" fontId="1" fillId="38" borderId="321"/>
    <xf numFmtId="0" fontId="87" fillId="37" borderId="322"/>
    <xf numFmtId="0" fontId="88" fillId="0" borderId="323"/>
    <xf numFmtId="0" fontId="80" fillId="37" borderId="325"/>
    <xf numFmtId="0" fontId="84" fillId="28" borderId="325"/>
    <xf numFmtId="0" fontId="1" fillId="39" borderId="324"/>
    <xf numFmtId="0" fontId="1" fillId="38" borderId="324"/>
    <xf numFmtId="0" fontId="87" fillId="37" borderId="326"/>
    <xf numFmtId="0" fontId="88" fillId="0" borderId="327"/>
    <xf numFmtId="0" fontId="80" fillId="37" borderId="325"/>
    <xf numFmtId="0" fontId="80" fillId="37" borderId="325"/>
    <xf numFmtId="0" fontId="80" fillId="37" borderId="325"/>
    <xf numFmtId="0" fontId="84" fillId="28" borderId="325"/>
    <xf numFmtId="0" fontId="84" fillId="28" borderId="325"/>
    <xf numFmtId="0" fontId="80" fillId="37" borderId="325"/>
    <xf numFmtId="0" fontId="1" fillId="39" borderId="324"/>
    <xf numFmtId="0" fontId="1" fillId="39" borderId="324"/>
    <xf numFmtId="0" fontId="87" fillId="37" borderId="326"/>
    <xf numFmtId="0" fontId="88" fillId="0" borderId="327"/>
    <xf numFmtId="0" fontId="80" fillId="37" borderId="325"/>
    <xf numFmtId="0" fontId="84" fillId="28" borderId="325"/>
    <xf numFmtId="0" fontId="84" fillId="28" borderId="325"/>
    <xf numFmtId="0" fontId="1" fillId="39" borderId="324"/>
    <xf numFmtId="0" fontId="1" fillId="39" borderId="324"/>
    <xf numFmtId="0" fontId="87" fillId="37" borderId="326"/>
    <xf numFmtId="0" fontId="88" fillId="0" borderId="327"/>
    <xf numFmtId="0" fontId="1" fillId="39" borderId="324"/>
    <xf numFmtId="0" fontId="1" fillId="39" borderId="324"/>
    <xf numFmtId="0" fontId="87" fillId="37" borderId="326"/>
    <xf numFmtId="0" fontId="88" fillId="0" borderId="327"/>
    <xf numFmtId="0" fontId="1" fillId="39" borderId="324"/>
    <xf numFmtId="0" fontId="1" fillId="39" borderId="324"/>
    <xf numFmtId="0" fontId="87" fillId="37" borderId="326"/>
    <xf numFmtId="0" fontId="88" fillId="0" borderId="327"/>
    <xf numFmtId="0" fontId="84" fillId="28" borderId="325"/>
    <xf numFmtId="0" fontId="1" fillId="39" borderId="324"/>
    <xf numFmtId="0" fontId="1" fillId="39" borderId="324"/>
    <xf numFmtId="0" fontId="87" fillId="37" borderId="326"/>
    <xf numFmtId="0" fontId="88" fillId="0" borderId="327"/>
    <xf numFmtId="0" fontId="197" fillId="0" borderId="0"/>
    <xf numFmtId="0" fontId="1" fillId="0" borderId="0"/>
    <xf numFmtId="0" fontId="1" fillId="0" borderId="0"/>
    <xf numFmtId="0" fontId="226" fillId="0" borderId="0"/>
    <xf numFmtId="0" fontId="1" fillId="0" borderId="0"/>
    <xf numFmtId="0" fontId="1" fillId="0" borderId="0"/>
    <xf numFmtId="167" fontId="1" fillId="0" borderId="0"/>
    <xf numFmtId="0" fontId="12" fillId="0" borderId="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9" fontId="18" fillId="0" borderId="0"/>
    <xf numFmtId="0" fontId="277" fillId="0" borderId="0"/>
    <xf numFmtId="0" fontId="1" fillId="0" borderId="0"/>
    <xf numFmtId="0" fontId="80" fillId="37" borderId="517"/>
    <xf numFmtId="0" fontId="80" fillId="37" borderId="517"/>
    <xf numFmtId="0" fontId="80" fillId="37" borderId="517"/>
    <xf numFmtId="0" fontId="80" fillId="37" borderId="517"/>
    <xf numFmtId="0" fontId="80" fillId="37" borderId="517"/>
    <xf numFmtId="0" fontId="80" fillId="37" borderId="517"/>
    <xf numFmtId="0" fontId="80" fillId="37" borderId="517"/>
    <xf numFmtId="0" fontId="80" fillId="37" borderId="517"/>
    <xf numFmtId="0" fontId="80" fillId="37" borderId="517"/>
    <xf numFmtId="0" fontId="80" fillId="37" borderId="517"/>
    <xf numFmtId="0" fontId="80" fillId="37" borderId="517"/>
    <xf numFmtId="0" fontId="80" fillId="37" borderId="517"/>
    <xf numFmtId="0" fontId="80" fillId="37" borderId="517"/>
    <xf numFmtId="0" fontId="84" fillId="28" borderId="517"/>
    <xf numFmtId="0" fontId="84" fillId="28" borderId="517"/>
    <xf numFmtId="0" fontId="84" fillId="28" borderId="517"/>
    <xf numFmtId="0" fontId="84" fillId="28" borderId="517"/>
    <xf numFmtId="0" fontId="84" fillId="28" borderId="517"/>
    <xf numFmtId="0" fontId="84" fillId="28" borderId="517"/>
    <xf numFmtId="0" fontId="84" fillId="28" borderId="517"/>
    <xf numFmtId="0" fontId="84" fillId="28" borderId="517"/>
    <xf numFmtId="0" fontId="84" fillId="28" borderId="517"/>
    <xf numFmtId="0" fontId="84" fillId="28" borderId="517"/>
    <xf numFmtId="0" fontId="84" fillId="28" borderId="517"/>
    <xf numFmtId="0" fontId="84" fillId="28" borderId="517"/>
    <xf numFmtId="0" fontId="84" fillId="28" borderId="517"/>
    <xf numFmtId="0" fontId="1" fillId="38" borderId="518"/>
    <xf numFmtId="0" fontId="1" fillId="38" borderId="518"/>
    <xf numFmtId="0" fontId="1" fillId="38" borderId="518"/>
    <xf numFmtId="0" fontId="1" fillId="39" borderId="518"/>
    <xf numFmtId="0" fontId="1" fillId="39" borderId="518"/>
    <xf numFmtId="0" fontId="1" fillId="39" borderId="518"/>
    <xf numFmtId="0" fontId="1" fillId="39" borderId="518"/>
    <xf numFmtId="0" fontId="1" fillId="39" borderId="518"/>
    <xf numFmtId="0" fontId="1" fillId="39" borderId="518"/>
    <xf numFmtId="0" fontId="1" fillId="39" borderId="518"/>
    <xf numFmtId="0" fontId="1" fillId="39" borderId="518"/>
    <xf numFmtId="0" fontId="1" fillId="39" borderId="518"/>
    <xf numFmtId="0" fontId="1" fillId="39" borderId="518"/>
    <xf numFmtId="0" fontId="1" fillId="38" borderId="518"/>
    <xf numFmtId="0" fontId="1" fillId="39" borderId="518"/>
    <xf numFmtId="0" fontId="1" fillId="39" borderId="518"/>
    <xf numFmtId="0" fontId="1" fillId="39" borderId="518"/>
    <xf numFmtId="0" fontId="1" fillId="39" borderId="518"/>
    <xf numFmtId="0" fontId="1" fillId="39" borderId="518"/>
    <xf numFmtId="0" fontId="1" fillId="39" borderId="518"/>
    <xf numFmtId="0" fontId="1" fillId="39" borderId="518"/>
    <xf numFmtId="0" fontId="1" fillId="39" borderId="518"/>
    <xf numFmtId="0" fontId="1" fillId="39" borderId="518"/>
    <xf numFmtId="0" fontId="1" fillId="39" borderId="518"/>
    <xf numFmtId="0" fontId="1" fillId="39" borderId="518"/>
    <xf numFmtId="0" fontId="1" fillId="39" borderId="518"/>
    <xf numFmtId="0" fontId="1" fillId="39" borderId="518"/>
    <xf numFmtId="0" fontId="87" fillId="37" borderId="519"/>
    <xf numFmtId="0" fontId="87" fillId="37" borderId="519"/>
    <xf numFmtId="0" fontId="87" fillId="37" borderId="519"/>
    <xf numFmtId="0" fontId="87" fillId="37" borderId="519"/>
    <xf numFmtId="0" fontId="87" fillId="37" borderId="519"/>
    <xf numFmtId="0" fontId="87" fillId="37" borderId="519"/>
    <xf numFmtId="0" fontId="87" fillId="37" borderId="519"/>
    <xf numFmtId="0" fontId="87" fillId="37" borderId="519"/>
    <xf numFmtId="0" fontId="87" fillId="37" borderId="519"/>
    <xf numFmtId="0" fontId="87" fillId="37" borderId="519"/>
    <xf numFmtId="0" fontId="87" fillId="37" borderId="519"/>
    <xf numFmtId="0" fontId="87" fillId="37" borderId="519"/>
    <xf numFmtId="0" fontId="87" fillId="37" borderId="519"/>
    <xf numFmtId="0" fontId="88" fillId="0" borderId="520"/>
    <xf numFmtId="0" fontId="88" fillId="0" borderId="520"/>
    <xf numFmtId="0" fontId="88" fillId="0" borderId="520"/>
    <xf numFmtId="0" fontId="88" fillId="0" borderId="520"/>
    <xf numFmtId="0" fontId="88" fillId="0" borderId="520"/>
    <xf numFmtId="0" fontId="88" fillId="0" borderId="520"/>
    <xf numFmtId="0" fontId="88" fillId="0" borderId="520"/>
    <xf numFmtId="0" fontId="88" fillId="0" borderId="520"/>
    <xf numFmtId="0" fontId="88" fillId="0" borderId="520"/>
    <xf numFmtId="0" fontId="88" fillId="0" borderId="520"/>
    <xf numFmtId="0" fontId="88" fillId="0" borderId="520"/>
    <xf numFmtId="0" fontId="88" fillId="0" borderId="520"/>
    <xf numFmtId="0" fontId="88" fillId="0" borderId="520"/>
    <xf numFmtId="0" fontId="1" fillId="0" borderId="0"/>
    <xf numFmtId="0" fontId="85" fillId="0" borderId="0"/>
    <xf numFmtId="0" fontId="85" fillId="0" borderId="0"/>
    <xf numFmtId="0" fontId="80" fillId="37" borderId="521"/>
    <xf numFmtId="0" fontId="80" fillId="37" borderId="521"/>
    <xf numFmtId="0" fontId="80" fillId="37" borderId="521"/>
    <xf numFmtId="0" fontId="80" fillId="37" borderId="521"/>
    <xf numFmtId="0" fontId="80" fillId="37" borderId="521"/>
    <xf numFmtId="0" fontId="80" fillId="37" borderId="521"/>
    <xf numFmtId="0" fontId="80" fillId="37" borderId="521"/>
    <xf numFmtId="0" fontId="80" fillId="37" borderId="521"/>
    <xf numFmtId="0" fontId="80" fillId="37" borderId="521"/>
    <xf numFmtId="0" fontId="80" fillId="37" borderId="521"/>
    <xf numFmtId="0" fontId="80" fillId="37" borderId="521"/>
    <xf numFmtId="0" fontId="80" fillId="37" borderId="521"/>
    <xf numFmtId="0" fontId="80" fillId="37" borderId="521"/>
    <xf numFmtId="0" fontId="84" fillId="28" borderId="521"/>
    <xf numFmtId="0" fontId="84" fillId="28" borderId="521"/>
    <xf numFmtId="0" fontId="84" fillId="28" borderId="521"/>
    <xf numFmtId="0" fontId="84" fillId="28" borderId="521"/>
    <xf numFmtId="0" fontId="84" fillId="28" borderId="521"/>
    <xf numFmtId="0" fontId="84" fillId="28" borderId="521"/>
    <xf numFmtId="0" fontId="84" fillId="28" borderId="521"/>
    <xf numFmtId="0" fontId="84" fillId="28" borderId="521"/>
    <xf numFmtId="0" fontId="84" fillId="28" borderId="521"/>
    <xf numFmtId="0" fontId="84" fillId="28" borderId="521"/>
    <xf numFmtId="0" fontId="84" fillId="28" borderId="521"/>
    <xf numFmtId="0" fontId="84" fillId="28" borderId="521"/>
    <xf numFmtId="0" fontId="84" fillId="28" borderId="521"/>
    <xf numFmtId="0" fontId="1" fillId="38" borderId="522"/>
    <xf numFmtId="0" fontId="1" fillId="38" borderId="522"/>
    <xf numFmtId="0" fontId="1" fillId="38" borderId="522"/>
    <xf numFmtId="0" fontId="1" fillId="39" borderId="522"/>
    <xf numFmtId="0" fontId="1" fillId="39" borderId="522"/>
    <xf numFmtId="0" fontId="1" fillId="39" borderId="522"/>
    <xf numFmtId="0" fontId="1" fillId="39" borderId="522"/>
    <xf numFmtId="0" fontId="1" fillId="39" borderId="522"/>
    <xf numFmtId="0" fontId="1" fillId="39" borderId="522"/>
    <xf numFmtId="0" fontId="1" fillId="39" borderId="522"/>
    <xf numFmtId="0" fontId="1" fillId="39" borderId="522"/>
    <xf numFmtId="0" fontId="1" fillId="39" borderId="522"/>
    <xf numFmtId="0" fontId="1" fillId="39" borderId="522"/>
    <xf numFmtId="0" fontId="1" fillId="38" borderId="522"/>
    <xf numFmtId="0" fontId="1" fillId="39" borderId="522"/>
    <xf numFmtId="0" fontId="1" fillId="39" borderId="522"/>
    <xf numFmtId="0" fontId="1" fillId="39" borderId="522"/>
    <xf numFmtId="0" fontId="1" fillId="39" borderId="522"/>
    <xf numFmtId="0" fontId="1" fillId="39" borderId="522"/>
    <xf numFmtId="0" fontId="1" fillId="39" borderId="522"/>
    <xf numFmtId="0" fontId="1" fillId="39" borderId="522"/>
    <xf numFmtId="0" fontId="1" fillId="39" borderId="522"/>
    <xf numFmtId="0" fontId="1" fillId="39" borderId="522"/>
    <xf numFmtId="0" fontId="1" fillId="39" borderId="522"/>
    <xf numFmtId="0" fontId="1" fillId="39" borderId="522"/>
    <xf numFmtId="0" fontId="1" fillId="39" borderId="522"/>
    <xf numFmtId="0" fontId="1" fillId="39" borderId="522"/>
    <xf numFmtId="0" fontId="87" fillId="37" borderId="523"/>
    <xf numFmtId="0" fontId="87" fillId="37" borderId="523"/>
    <xf numFmtId="0" fontId="87" fillId="37" borderId="523"/>
    <xf numFmtId="0" fontId="87" fillId="37" borderId="523"/>
    <xf numFmtId="0" fontId="87" fillId="37" borderId="523"/>
    <xf numFmtId="0" fontId="87" fillId="37" borderId="523"/>
    <xf numFmtId="0" fontId="87" fillId="37" borderId="523"/>
    <xf numFmtId="0" fontId="87" fillId="37" borderId="523"/>
    <xf numFmtId="0" fontId="87" fillId="37" borderId="523"/>
    <xf numFmtId="0" fontId="87" fillId="37" borderId="523"/>
    <xf numFmtId="0" fontId="87" fillId="37" borderId="523"/>
    <xf numFmtId="0" fontId="87" fillId="37" borderId="523"/>
    <xf numFmtId="0" fontId="87" fillId="37" borderId="523"/>
    <xf numFmtId="0" fontId="88" fillId="0" borderId="524"/>
    <xf numFmtId="0" fontId="88" fillId="0" borderId="524"/>
    <xf numFmtId="0" fontId="88" fillId="0" borderId="524"/>
    <xf numFmtId="0" fontId="88" fillId="0" borderId="524"/>
    <xf numFmtId="0" fontId="88" fillId="0" borderId="524"/>
    <xf numFmtId="0" fontId="88" fillId="0" borderId="524"/>
    <xf numFmtId="0" fontId="88" fillId="0" borderId="524"/>
    <xf numFmtId="0" fontId="88" fillId="0" borderId="524"/>
    <xf numFmtId="0" fontId="88" fillId="0" borderId="524"/>
    <xf numFmtId="0" fontId="88" fillId="0" borderId="524"/>
    <xf numFmtId="0" fontId="88" fillId="0" borderId="524"/>
    <xf numFmtId="0" fontId="88" fillId="0" borderId="524"/>
    <xf numFmtId="0" fontId="88" fillId="0" borderId="524"/>
    <xf numFmtId="0" fontId="80" fillId="37" borderId="521"/>
    <xf numFmtId="0" fontId="84" fillId="28" borderId="521"/>
    <xf numFmtId="0" fontId="1" fillId="39" borderId="522"/>
    <xf numFmtId="0" fontId="1" fillId="38" borderId="522"/>
    <xf numFmtId="0" fontId="87" fillId="37" borderId="523"/>
    <xf numFmtId="0" fontId="88" fillId="0" borderId="524"/>
    <xf numFmtId="0" fontId="80" fillId="37" borderId="521"/>
    <xf numFmtId="0" fontId="84" fillId="28" borderId="521"/>
    <xf numFmtId="0" fontId="1" fillId="39" borderId="522"/>
    <xf numFmtId="0" fontId="1" fillId="38" borderId="522"/>
    <xf numFmtId="0" fontId="87" fillId="37" borderId="523"/>
    <xf numFmtId="0" fontId="88" fillId="0" borderId="524"/>
    <xf numFmtId="0" fontId="80" fillId="37" borderId="521"/>
    <xf numFmtId="0" fontId="80" fillId="37" borderId="521"/>
    <xf numFmtId="0" fontId="80" fillId="37" borderId="521"/>
    <xf numFmtId="0" fontId="84" fillId="28" borderId="521"/>
    <xf numFmtId="0" fontId="84" fillId="28" borderId="521"/>
    <xf numFmtId="0" fontId="80" fillId="37" borderId="521"/>
    <xf numFmtId="0" fontId="1" fillId="39" borderId="522"/>
    <xf numFmtId="0" fontId="1" fillId="39" borderId="522"/>
    <xf numFmtId="0" fontId="87" fillId="37" borderId="523"/>
    <xf numFmtId="0" fontId="88" fillId="0" borderId="524"/>
    <xf numFmtId="0" fontId="80" fillId="37" borderId="521"/>
    <xf numFmtId="0" fontId="84" fillId="28" borderId="521"/>
    <xf numFmtId="0" fontId="84" fillId="28" borderId="521"/>
    <xf numFmtId="0" fontId="1" fillId="39" borderId="522"/>
    <xf numFmtId="0" fontId="1" fillId="39" borderId="522"/>
    <xf numFmtId="0" fontId="87" fillId="37" borderId="523"/>
    <xf numFmtId="0" fontId="88" fillId="0" borderId="524"/>
    <xf numFmtId="0" fontId="1" fillId="39" borderId="522"/>
    <xf numFmtId="0" fontId="1" fillId="39" borderId="522"/>
    <xf numFmtId="0" fontId="87" fillId="37" borderId="523"/>
    <xf numFmtId="0" fontId="88" fillId="0" borderId="524"/>
    <xf numFmtId="0" fontId="1" fillId="39" borderId="522"/>
    <xf numFmtId="0" fontId="1" fillId="39" borderId="522"/>
    <xf numFmtId="0" fontId="87" fillId="37" borderId="523"/>
    <xf numFmtId="0" fontId="88" fillId="0" borderId="524"/>
    <xf numFmtId="0" fontId="84" fillId="28" borderId="521"/>
    <xf numFmtId="0" fontId="1" fillId="39" borderId="522"/>
    <xf numFmtId="0" fontId="1" fillId="39" borderId="522"/>
    <xf numFmtId="0" fontId="87" fillId="37" borderId="523"/>
    <xf numFmtId="0" fontId="88" fillId="0" borderId="524"/>
    <xf numFmtId="0" fontId="80" fillId="37" borderId="521"/>
    <xf numFmtId="0" fontId="84" fillId="28" borderId="521"/>
    <xf numFmtId="0" fontId="1" fillId="39" borderId="522"/>
    <xf numFmtId="0" fontId="1" fillId="38" borderId="522"/>
    <xf numFmtId="0" fontId="87" fillId="37" borderId="523"/>
    <xf numFmtId="0" fontId="88" fillId="0" borderId="524"/>
    <xf numFmtId="0" fontId="80" fillId="37" borderId="521"/>
    <xf numFmtId="0" fontId="84" fillId="28" borderId="521"/>
    <xf numFmtId="0" fontId="1" fillId="39" borderId="522"/>
    <xf numFmtId="0" fontId="1" fillId="38" borderId="522"/>
    <xf numFmtId="0" fontId="87" fillId="37" borderId="523"/>
    <xf numFmtId="0" fontId="88" fillId="0" borderId="524"/>
    <xf numFmtId="0" fontId="80" fillId="37" borderId="521"/>
    <xf numFmtId="0" fontId="80" fillId="37" borderId="521"/>
    <xf numFmtId="0" fontId="80" fillId="37" borderId="521"/>
    <xf numFmtId="0" fontId="84" fillId="28" borderId="521"/>
    <xf numFmtId="0" fontId="84" fillId="28" borderId="521"/>
    <xf numFmtId="0" fontId="80" fillId="37" borderId="521"/>
    <xf numFmtId="0" fontId="1" fillId="39" borderId="522"/>
    <xf numFmtId="0" fontId="1" fillId="39" borderId="522"/>
    <xf numFmtId="0" fontId="87" fillId="37" borderId="523"/>
    <xf numFmtId="0" fontId="88" fillId="0" borderId="524"/>
    <xf numFmtId="0" fontId="80" fillId="37" borderId="521"/>
    <xf numFmtId="0" fontId="84" fillId="28" borderId="521"/>
    <xf numFmtId="0" fontId="84" fillId="28" borderId="521"/>
    <xf numFmtId="0" fontId="1" fillId="39" borderId="522"/>
    <xf numFmtId="0" fontId="1" fillId="39" borderId="522"/>
    <xf numFmtId="0" fontId="87" fillId="37" borderId="523"/>
    <xf numFmtId="0" fontId="88" fillId="0" borderId="524"/>
    <xf numFmtId="0" fontId="1" fillId="39" borderId="522"/>
    <xf numFmtId="0" fontId="1" fillId="39" borderId="522"/>
    <xf numFmtId="0" fontId="87" fillId="37" borderId="523"/>
    <xf numFmtId="0" fontId="88" fillId="0" borderId="524"/>
    <xf numFmtId="0" fontId="1" fillId="39" borderId="522"/>
    <xf numFmtId="0" fontId="1" fillId="39" borderId="522"/>
    <xf numFmtId="0" fontId="87" fillId="37" borderId="523"/>
    <xf numFmtId="0" fontId="88" fillId="0" borderId="524"/>
    <xf numFmtId="0" fontId="84" fillId="28" borderId="521"/>
    <xf numFmtId="0" fontId="1" fillId="39" borderId="522"/>
    <xf numFmtId="0" fontId="1" fillId="39" borderId="522"/>
    <xf numFmtId="0" fontId="87" fillId="37" borderId="523"/>
    <xf numFmtId="0" fontId="88" fillId="0" borderId="524"/>
    <xf numFmtId="0" fontId="1" fillId="0" borderId="0"/>
    <xf numFmtId="0" fontId="1" fillId="0" borderId="0"/>
    <xf numFmtId="0" fontId="1" fillId="0" borderId="0"/>
    <xf numFmtId="0" fontId="88" fillId="0" borderId="559"/>
    <xf numFmtId="0" fontId="88" fillId="0" borderId="559"/>
    <xf numFmtId="0" fontId="88" fillId="0" borderId="559"/>
    <xf numFmtId="0" fontId="88" fillId="0" borderId="559"/>
    <xf numFmtId="0" fontId="88" fillId="0" borderId="559"/>
    <xf numFmtId="0" fontId="88" fillId="0" borderId="559"/>
    <xf numFmtId="0" fontId="88" fillId="0" borderId="559"/>
    <xf numFmtId="0" fontId="87" fillId="37" borderId="558"/>
    <xf numFmtId="0" fontId="87" fillId="37" borderId="558"/>
    <xf numFmtId="0" fontId="87" fillId="37" borderId="558"/>
    <xf numFmtId="0" fontId="87" fillId="37" borderId="558"/>
    <xf numFmtId="0" fontId="87" fillId="37" borderId="558"/>
    <xf numFmtId="0" fontId="87" fillId="37" borderId="558"/>
    <xf numFmtId="0" fontId="87" fillId="37" borderId="558"/>
    <xf numFmtId="0" fontId="87" fillId="37" borderId="558"/>
    <xf numFmtId="0" fontId="87" fillId="37" borderId="558"/>
    <xf numFmtId="0" fontId="87" fillId="37" borderId="558"/>
    <xf numFmtId="0" fontId="87" fillId="37" borderId="558"/>
    <xf numFmtId="0" fontId="1" fillId="39" borderId="557"/>
    <xf numFmtId="0" fontId="1" fillId="39" borderId="557"/>
    <xf numFmtId="0" fontId="1" fillId="39" borderId="557"/>
    <xf numFmtId="0" fontId="1" fillId="39" borderId="557"/>
    <xf numFmtId="0" fontId="1" fillId="39" borderId="557"/>
    <xf numFmtId="0" fontId="1" fillId="39" borderId="557"/>
    <xf numFmtId="0" fontId="1" fillId="39" borderId="557"/>
    <xf numFmtId="0" fontId="1" fillId="39" borderId="557"/>
    <xf numFmtId="0" fontId="1" fillId="39" borderId="557"/>
    <xf numFmtId="0" fontId="1" fillId="39" borderId="557"/>
    <xf numFmtId="0" fontId="1" fillId="39" borderId="557"/>
    <xf numFmtId="0" fontId="1" fillId="38" borderId="557"/>
    <xf numFmtId="0" fontId="1" fillId="39" borderId="557"/>
    <xf numFmtId="0" fontId="1" fillId="39" borderId="557"/>
    <xf numFmtId="0" fontId="1" fillId="39" borderId="557"/>
    <xf numFmtId="0" fontId="1" fillId="39" borderId="557"/>
    <xf numFmtId="0" fontId="1" fillId="39" borderId="557"/>
    <xf numFmtId="0" fontId="1" fillId="39" borderId="557"/>
    <xf numFmtId="0" fontId="1" fillId="39" borderId="557"/>
    <xf numFmtId="0" fontId="1" fillId="39" borderId="557"/>
    <xf numFmtId="0" fontId="1" fillId="39" borderId="557"/>
    <xf numFmtId="0" fontId="1" fillId="38" borderId="557"/>
    <xf numFmtId="0" fontId="1" fillId="38" borderId="557"/>
    <xf numFmtId="0" fontId="84" fillId="28" borderId="556"/>
    <xf numFmtId="0" fontId="84" fillId="28" borderId="556"/>
    <xf numFmtId="0" fontId="84" fillId="28" borderId="556"/>
    <xf numFmtId="0" fontId="84" fillId="28" borderId="556"/>
    <xf numFmtId="0" fontId="84" fillId="28" borderId="556"/>
    <xf numFmtId="0" fontId="84" fillId="28" borderId="556"/>
    <xf numFmtId="0" fontId="84" fillId="28" borderId="556"/>
    <xf numFmtId="0" fontId="84" fillId="28" borderId="556"/>
    <xf numFmtId="0" fontId="80" fillId="37" borderId="545"/>
    <xf numFmtId="0" fontId="80" fillId="37" borderId="545"/>
    <xf numFmtId="0" fontId="80" fillId="37" borderId="545"/>
    <xf numFmtId="0" fontId="80" fillId="37" borderId="545"/>
    <xf numFmtId="0" fontId="80" fillId="37" borderId="545"/>
    <xf numFmtId="0" fontId="80" fillId="37" borderId="545"/>
    <xf numFmtId="0" fontId="80" fillId="37" borderId="545"/>
    <xf numFmtId="0" fontId="80" fillId="37" borderId="545"/>
    <xf numFmtId="0" fontId="80" fillId="37" borderId="545"/>
    <xf numFmtId="0" fontId="80" fillId="37" borderId="545"/>
    <xf numFmtId="0" fontId="80" fillId="37" borderId="545"/>
    <xf numFmtId="0" fontId="80" fillId="37" borderId="545"/>
    <xf numFmtId="0" fontId="80" fillId="37" borderId="545"/>
    <xf numFmtId="0" fontId="80" fillId="37" borderId="556"/>
    <xf numFmtId="0" fontId="80" fillId="37" borderId="556"/>
    <xf numFmtId="0" fontId="80" fillId="37" borderId="556"/>
    <xf numFmtId="0" fontId="80" fillId="37" borderId="556"/>
    <xf numFmtId="0" fontId="80" fillId="37" borderId="556"/>
    <xf numFmtId="0" fontId="80" fillId="37" borderId="556"/>
    <xf numFmtId="0" fontId="80" fillId="37" borderId="556"/>
    <xf numFmtId="0" fontId="80" fillId="37" borderId="556"/>
    <xf numFmtId="0" fontId="84" fillId="28" borderId="545"/>
    <xf numFmtId="0" fontId="84" fillId="28" borderId="545"/>
    <xf numFmtId="0" fontId="84" fillId="28" borderId="545"/>
    <xf numFmtId="0" fontId="84" fillId="28" borderId="545"/>
    <xf numFmtId="0" fontId="84" fillId="28" borderId="545"/>
    <xf numFmtId="0" fontId="84" fillId="28" borderId="545"/>
    <xf numFmtId="0" fontId="84" fillId="28" borderId="545"/>
    <xf numFmtId="0" fontId="84" fillId="28" borderId="545"/>
    <xf numFmtId="0" fontId="84" fillId="28" borderId="545"/>
    <xf numFmtId="0" fontId="84" fillId="28" borderId="545"/>
    <xf numFmtId="0" fontId="84" fillId="28" borderId="545"/>
    <xf numFmtId="0" fontId="84" fillId="28" borderId="545"/>
    <xf numFmtId="0" fontId="84" fillId="28" borderId="545"/>
    <xf numFmtId="0" fontId="1" fillId="38" borderId="324"/>
    <xf numFmtId="0" fontId="1" fillId="38" borderId="324"/>
    <xf numFmtId="0" fontId="1" fillId="38"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8"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87" fillId="37" borderId="546"/>
    <xf numFmtId="0" fontId="87" fillId="37" borderId="546"/>
    <xf numFmtId="0" fontId="87" fillId="37" borderId="546"/>
    <xf numFmtId="0" fontId="87" fillId="37" borderId="546"/>
    <xf numFmtId="0" fontId="87" fillId="37" borderId="546"/>
    <xf numFmtId="0" fontId="87" fillId="37" borderId="546"/>
    <xf numFmtId="0" fontId="87" fillId="37" borderId="546"/>
    <xf numFmtId="0" fontId="87" fillId="37" borderId="546"/>
    <xf numFmtId="0" fontId="87" fillId="37" borderId="546"/>
    <xf numFmtId="0" fontId="87" fillId="37" borderId="546"/>
    <xf numFmtId="0" fontId="87" fillId="37" borderId="546"/>
    <xf numFmtId="0" fontId="87" fillId="37" borderId="546"/>
    <xf numFmtId="0" fontId="87" fillId="37" borderId="546"/>
    <xf numFmtId="0" fontId="88" fillId="0" borderId="547"/>
    <xf numFmtId="0" fontId="88" fillId="0" borderId="547"/>
    <xf numFmtId="0" fontId="88" fillId="0" borderId="547"/>
    <xf numFmtId="0" fontId="88" fillId="0" borderId="547"/>
    <xf numFmtId="0" fontId="88" fillId="0" borderId="547"/>
    <xf numFmtId="0" fontId="88" fillId="0" borderId="547"/>
    <xf numFmtId="0" fontId="88" fillId="0" borderId="547"/>
    <xf numFmtId="0" fontId="88" fillId="0" borderId="547"/>
    <xf numFmtId="0" fontId="88" fillId="0" borderId="547"/>
    <xf numFmtId="0" fontId="88" fillId="0" borderId="547"/>
    <xf numFmtId="0" fontId="88" fillId="0" borderId="547"/>
    <xf numFmtId="0" fontId="88" fillId="0" borderId="547"/>
    <xf numFmtId="0" fontId="88" fillId="0" borderId="547"/>
    <xf numFmtId="0" fontId="1" fillId="0" borderId="0"/>
    <xf numFmtId="0" fontId="80" fillId="37" borderId="556"/>
    <xf numFmtId="0" fontId="85" fillId="0" borderId="0"/>
    <xf numFmtId="0" fontId="85" fillId="0" borderId="0"/>
    <xf numFmtId="0" fontId="80" fillId="37" borderId="545"/>
    <xf numFmtId="0" fontId="80" fillId="37" borderId="545"/>
    <xf numFmtId="0" fontId="80" fillId="37" borderId="545"/>
    <xf numFmtId="0" fontId="80" fillId="37" borderId="545"/>
    <xf numFmtId="0" fontId="80" fillId="37" borderId="545"/>
    <xf numFmtId="0" fontId="80" fillId="37" borderId="545"/>
    <xf numFmtId="0" fontId="80" fillId="37" borderId="545"/>
    <xf numFmtId="0" fontId="80" fillId="37" borderId="545"/>
    <xf numFmtId="0" fontId="80" fillId="37" borderId="545"/>
    <xf numFmtId="0" fontId="80" fillId="37" borderId="545"/>
    <xf numFmtId="0" fontId="80" fillId="37" borderId="545"/>
    <xf numFmtId="0" fontId="80" fillId="37" borderId="545"/>
    <xf numFmtId="0" fontId="80" fillId="37" borderId="545"/>
    <xf numFmtId="0" fontId="84" fillId="28" borderId="545"/>
    <xf numFmtId="0" fontId="84" fillId="28" borderId="545"/>
    <xf numFmtId="0" fontId="84" fillId="28" borderId="545"/>
    <xf numFmtId="0" fontId="84" fillId="28" borderId="545"/>
    <xf numFmtId="0" fontId="84" fillId="28" borderId="545"/>
    <xf numFmtId="0" fontId="84" fillId="28" borderId="545"/>
    <xf numFmtId="0" fontId="84" fillId="28" borderId="545"/>
    <xf numFmtId="0" fontId="84" fillId="28" borderId="545"/>
    <xf numFmtId="0" fontId="84" fillId="28" borderId="545"/>
    <xf numFmtId="0" fontId="84" fillId="28" borderId="545"/>
    <xf numFmtId="0" fontId="84" fillId="28" borderId="545"/>
    <xf numFmtId="0" fontId="84" fillId="28" borderId="545"/>
    <xf numFmtId="0" fontId="84" fillId="28" borderId="545"/>
    <xf numFmtId="0" fontId="1" fillId="38" borderId="324"/>
    <xf numFmtId="0" fontId="1" fillId="38" borderId="324"/>
    <xf numFmtId="0" fontId="1" fillId="38"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8"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1" fillId="39" borderId="324"/>
    <xf numFmtId="0" fontId="87" fillId="37" borderId="546"/>
    <xf numFmtId="0" fontId="87" fillId="37" borderId="546"/>
    <xf numFmtId="0" fontId="87" fillId="37" borderId="546"/>
    <xf numFmtId="0" fontId="87" fillId="37" borderId="546"/>
    <xf numFmtId="0" fontId="87" fillId="37" borderId="546"/>
    <xf numFmtId="0" fontId="87" fillId="37" borderId="546"/>
    <xf numFmtId="0" fontId="87" fillId="37" borderId="546"/>
    <xf numFmtId="0" fontId="87" fillId="37" borderId="546"/>
    <xf numFmtId="0" fontId="87" fillId="37" borderId="546"/>
    <xf numFmtId="0" fontId="87" fillId="37" borderId="546"/>
    <xf numFmtId="0" fontId="87" fillId="37" borderId="546"/>
    <xf numFmtId="0" fontId="87" fillId="37" borderId="546"/>
    <xf numFmtId="0" fontId="87" fillId="37" borderId="546"/>
    <xf numFmtId="0" fontId="88" fillId="0" borderId="547"/>
    <xf numFmtId="0" fontId="88" fillId="0" borderId="547"/>
    <xf numFmtId="0" fontId="88" fillId="0" borderId="547"/>
    <xf numFmtId="0" fontId="88" fillId="0" borderId="547"/>
    <xf numFmtId="0" fontId="88" fillId="0" borderId="547"/>
    <xf numFmtId="0" fontId="88" fillId="0" borderId="547"/>
    <xf numFmtId="0" fontId="88" fillId="0" borderId="547"/>
    <xf numFmtId="0" fontId="88" fillId="0" borderId="547"/>
    <xf numFmtId="0" fontId="88" fillId="0" borderId="547"/>
    <xf numFmtId="0" fontId="88" fillId="0" borderId="547"/>
    <xf numFmtId="0" fontId="88" fillId="0" borderId="547"/>
    <xf numFmtId="0" fontId="88" fillId="0" borderId="547"/>
    <xf numFmtId="0" fontId="88" fillId="0" borderId="547"/>
    <xf numFmtId="0" fontId="88" fillId="0" borderId="559"/>
    <xf numFmtId="0" fontId="87" fillId="37" borderId="558"/>
    <xf numFmtId="0" fontId="87" fillId="37" borderId="558"/>
    <xf numFmtId="0" fontId="1" fillId="39" borderId="557"/>
    <xf numFmtId="0" fontId="1" fillId="39" borderId="557"/>
    <xf numFmtId="0" fontId="1" fillId="39" borderId="557"/>
    <xf numFmtId="0" fontId="1" fillId="38" borderId="557"/>
    <xf numFmtId="0" fontId="84" fillId="28" borderId="556"/>
    <xf numFmtId="0" fontId="84" fillId="28" borderId="556"/>
    <xf numFmtId="0" fontId="84" fillId="28" borderId="556"/>
    <xf numFmtId="0" fontId="84" fillId="28" borderId="556"/>
    <xf numFmtId="0" fontId="84" fillId="28" borderId="556"/>
    <xf numFmtId="0" fontId="80" fillId="37" borderId="548"/>
    <xf numFmtId="0" fontId="80" fillId="37" borderId="556"/>
    <xf numFmtId="0" fontId="80" fillId="37" borderId="556"/>
    <xf numFmtId="0" fontId="80" fillId="37" borderId="556"/>
    <xf numFmtId="0" fontId="84" fillId="28" borderId="548"/>
    <xf numFmtId="0" fontId="1" fillId="39" borderId="549"/>
    <xf numFmtId="0" fontId="1" fillId="38" borderId="549"/>
    <xf numFmtId="0" fontId="87" fillId="37" borderId="550"/>
    <xf numFmtId="0" fontId="88" fillId="0" borderId="551"/>
    <xf numFmtId="0" fontId="80" fillId="37" borderId="548"/>
    <xf numFmtId="0" fontId="84" fillId="28" borderId="548"/>
    <xf numFmtId="0" fontId="1" fillId="39" borderId="549"/>
    <xf numFmtId="0" fontId="1" fillId="38" borderId="549"/>
    <xf numFmtId="0" fontId="87" fillId="37" borderId="550"/>
    <xf numFmtId="0" fontId="88" fillId="0" borderId="551"/>
    <xf numFmtId="0" fontId="80" fillId="37" borderId="548"/>
    <xf numFmtId="0" fontId="80" fillId="37" borderId="548"/>
    <xf numFmtId="0" fontId="80" fillId="37" borderId="548"/>
    <xf numFmtId="0" fontId="84" fillId="28" borderId="548"/>
    <xf numFmtId="0" fontId="84" fillId="28" borderId="548"/>
    <xf numFmtId="0" fontId="80" fillId="37" borderId="548"/>
    <xf numFmtId="0" fontId="1" fillId="39" borderId="549"/>
    <xf numFmtId="0" fontId="1" fillId="39" borderId="549"/>
    <xf numFmtId="0" fontId="87" fillId="37" borderId="550"/>
    <xf numFmtId="0" fontId="88" fillId="0" borderId="551"/>
    <xf numFmtId="0" fontId="80" fillId="37" borderId="548"/>
    <xf numFmtId="0" fontId="84" fillId="28" borderId="548"/>
    <xf numFmtId="0" fontId="84" fillId="28" borderId="548"/>
    <xf numFmtId="0" fontId="1" fillId="39" borderId="549"/>
    <xf numFmtId="0" fontId="1" fillId="39" borderId="549"/>
    <xf numFmtId="0" fontId="87" fillId="37" borderId="550"/>
    <xf numFmtId="0" fontId="88" fillId="0" borderId="551"/>
    <xf numFmtId="0" fontId="1" fillId="39" borderId="549"/>
    <xf numFmtId="0" fontId="1" fillId="39" borderId="549"/>
    <xf numFmtId="0" fontId="87" fillId="37" borderId="550"/>
    <xf numFmtId="0" fontId="88" fillId="0" borderId="551"/>
    <xf numFmtId="0" fontId="1" fillId="39" borderId="549"/>
    <xf numFmtId="0" fontId="1" fillId="39" borderId="549"/>
    <xf numFmtId="0" fontId="87" fillId="37" borderId="550"/>
    <xf numFmtId="0" fontId="88" fillId="0" borderId="551"/>
    <xf numFmtId="0" fontId="84" fillId="28" borderId="548"/>
    <xf numFmtId="0" fontId="1" fillId="39" borderId="549"/>
    <xf numFmtId="0" fontId="1" fillId="39" borderId="549"/>
    <xf numFmtId="0" fontId="87" fillId="37" borderId="550"/>
    <xf numFmtId="0" fontId="88" fillId="0" borderId="551"/>
    <xf numFmtId="0" fontId="80" fillId="37" borderId="548"/>
    <xf numFmtId="0" fontId="84" fillId="28" borderId="548"/>
    <xf numFmtId="0" fontId="1" fillId="39" borderId="549"/>
    <xf numFmtId="0" fontId="1" fillId="38" borderId="549"/>
    <xf numFmtId="0" fontId="87" fillId="37" borderId="550"/>
    <xf numFmtId="0" fontId="88" fillId="0" borderId="551"/>
    <xf numFmtId="0" fontId="80" fillId="37" borderId="548"/>
    <xf numFmtId="0" fontId="84" fillId="28" borderId="548"/>
    <xf numFmtId="0" fontId="1" fillId="39" borderId="549"/>
    <xf numFmtId="0" fontId="1" fillId="38" borderId="549"/>
    <xf numFmtId="0" fontId="87" fillId="37" borderId="550"/>
    <xf numFmtId="0" fontId="88" fillId="0" borderId="551"/>
    <xf numFmtId="0" fontId="80" fillId="37" borderId="548"/>
    <xf numFmtId="0" fontId="80" fillId="37" borderId="548"/>
    <xf numFmtId="0" fontId="80" fillId="37" borderId="548"/>
    <xf numFmtId="0" fontId="84" fillId="28" borderId="548"/>
    <xf numFmtId="0" fontId="84" fillId="28" borderId="548"/>
    <xf numFmtId="0" fontId="80" fillId="37" borderId="548"/>
    <xf numFmtId="0" fontId="1" fillId="39" borderId="549"/>
    <xf numFmtId="0" fontId="1" fillId="39" borderId="549"/>
    <xf numFmtId="0" fontId="87" fillId="37" borderId="550"/>
    <xf numFmtId="0" fontId="88" fillId="0" borderId="551"/>
    <xf numFmtId="0" fontId="80" fillId="37" borderId="548"/>
    <xf numFmtId="0" fontId="84" fillId="28" borderId="548"/>
    <xf numFmtId="0" fontId="84" fillId="28" borderId="548"/>
    <xf numFmtId="0" fontId="1" fillId="39" borderId="549"/>
    <xf numFmtId="0" fontId="1" fillId="39" borderId="549"/>
    <xf numFmtId="0" fontId="87" fillId="37" borderId="550"/>
    <xf numFmtId="0" fontId="88" fillId="0" borderId="551"/>
    <xf numFmtId="0" fontId="1" fillId="39" borderId="549"/>
    <xf numFmtId="0" fontId="1" fillId="39" borderId="549"/>
    <xf numFmtId="0" fontId="87" fillId="37" borderId="550"/>
    <xf numFmtId="0" fontId="88" fillId="0" borderId="551"/>
    <xf numFmtId="0" fontId="1" fillId="39" borderId="549"/>
    <xf numFmtId="0" fontId="1" fillId="39" borderId="549"/>
    <xf numFmtId="0" fontId="87" fillId="37" borderId="550"/>
    <xf numFmtId="0" fontId="88" fillId="0" borderId="551"/>
    <xf numFmtId="0" fontId="84" fillId="28" borderId="548"/>
    <xf numFmtId="0" fontId="1" fillId="39" borderId="549"/>
    <xf numFmtId="0" fontId="1" fillId="39" borderId="549"/>
    <xf numFmtId="0" fontId="87" fillId="37" borderId="550"/>
    <xf numFmtId="0" fontId="88" fillId="0" borderId="551"/>
    <xf numFmtId="0" fontId="1" fillId="0" borderId="0"/>
    <xf numFmtId="0" fontId="1" fillId="0" borderId="0"/>
    <xf numFmtId="0" fontId="80" fillId="37" borderId="556"/>
    <xf numFmtId="0" fontId="1" fillId="0" borderId="0"/>
    <xf numFmtId="0" fontId="80" fillId="37" borderId="552"/>
    <xf numFmtId="0" fontId="80" fillId="37" borderId="552"/>
    <xf numFmtId="0" fontId="80" fillId="37" borderId="552"/>
    <xf numFmtId="0" fontId="80" fillId="37" borderId="552"/>
    <xf numFmtId="0" fontId="80" fillId="37" borderId="552"/>
    <xf numFmtId="0" fontId="80" fillId="37" borderId="552"/>
    <xf numFmtId="0" fontId="80" fillId="37" borderId="552"/>
    <xf numFmtId="0" fontId="80" fillId="37" borderId="552"/>
    <xf numFmtId="0" fontId="80" fillId="37" borderId="552"/>
    <xf numFmtId="0" fontId="80" fillId="37" borderId="552"/>
    <xf numFmtId="0" fontId="80" fillId="37" borderId="552"/>
    <xf numFmtId="0" fontId="80" fillId="37" borderId="552"/>
    <xf numFmtId="0" fontId="80" fillId="37" borderId="552"/>
    <xf numFmtId="0" fontId="84" fillId="28" borderId="552"/>
    <xf numFmtId="0" fontId="84" fillId="28" borderId="552"/>
    <xf numFmtId="0" fontId="84" fillId="28" borderId="552"/>
    <xf numFmtId="0" fontId="84" fillId="28" borderId="552"/>
    <xf numFmtId="0" fontId="84" fillId="28" borderId="552"/>
    <xf numFmtId="0" fontId="84" fillId="28" borderId="552"/>
    <xf numFmtId="0" fontId="84" fillId="28" borderId="552"/>
    <xf numFmtId="0" fontId="84" fillId="28" borderId="552"/>
    <xf numFmtId="0" fontId="84" fillId="28" borderId="552"/>
    <xf numFmtId="0" fontId="84" fillId="28" borderId="552"/>
    <xf numFmtId="0" fontId="84" fillId="28" borderId="552"/>
    <xf numFmtId="0" fontId="84" fillId="28" borderId="552"/>
    <xf numFmtId="0" fontId="84" fillId="28" borderId="552"/>
    <xf numFmtId="0" fontId="1" fillId="38" borderId="553"/>
    <xf numFmtId="0" fontId="1" fillId="38" borderId="553"/>
    <xf numFmtId="0" fontId="1" fillId="38"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8"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87" fillId="37" borderId="554"/>
    <xf numFmtId="0" fontId="87" fillId="37" borderId="554"/>
    <xf numFmtId="0" fontId="87" fillId="37" borderId="554"/>
    <xf numFmtId="0" fontId="87" fillId="37" borderId="554"/>
    <xf numFmtId="0" fontId="87" fillId="37" borderId="554"/>
    <xf numFmtId="0" fontId="87" fillId="37" borderId="554"/>
    <xf numFmtId="0" fontId="87" fillId="37" borderId="554"/>
    <xf numFmtId="0" fontId="87" fillId="37" borderId="554"/>
    <xf numFmtId="0" fontId="87" fillId="37" borderId="554"/>
    <xf numFmtId="0" fontId="87" fillId="37" borderId="554"/>
    <xf numFmtId="0" fontId="87" fillId="37" borderId="554"/>
    <xf numFmtId="0" fontId="87" fillId="37" borderId="554"/>
    <xf numFmtId="0" fontId="87" fillId="37" borderId="554"/>
    <xf numFmtId="0" fontId="88" fillId="0" borderId="555"/>
    <xf numFmtId="0" fontId="88" fillId="0" borderId="555"/>
    <xf numFmtId="0" fontId="88" fillId="0" borderId="555"/>
    <xf numFmtId="0" fontId="88" fillId="0" borderId="555"/>
    <xf numFmtId="0" fontId="88" fillId="0" borderId="555"/>
    <xf numFmtId="0" fontId="88" fillId="0" borderId="555"/>
    <xf numFmtId="0" fontId="88" fillId="0" borderId="555"/>
    <xf numFmtId="0" fontId="88" fillId="0" borderId="555"/>
    <xf numFmtId="0" fontId="88" fillId="0" borderId="555"/>
    <xf numFmtId="0" fontId="88" fillId="0" borderId="555"/>
    <xf numFmtId="0" fontId="88" fillId="0" borderId="555"/>
    <xf numFmtId="0" fontId="88" fillId="0" borderId="555"/>
    <xf numFmtId="0" fontId="88" fillId="0" borderId="555"/>
    <xf numFmtId="0" fontId="80" fillId="37" borderId="552"/>
    <xf numFmtId="0" fontId="80" fillId="37" borderId="552"/>
    <xf numFmtId="0" fontId="80" fillId="37" borderId="552"/>
    <xf numFmtId="0" fontId="80" fillId="37" borderId="552"/>
    <xf numFmtId="0" fontId="80" fillId="37" borderId="552"/>
    <xf numFmtId="0" fontId="80" fillId="37" borderId="552"/>
    <xf numFmtId="0" fontId="80" fillId="37" borderId="552"/>
    <xf numFmtId="0" fontId="80" fillId="37" borderId="552"/>
    <xf numFmtId="0" fontId="80" fillId="37" borderId="552"/>
    <xf numFmtId="0" fontId="80" fillId="37" borderId="552"/>
    <xf numFmtId="0" fontId="80" fillId="37" borderId="552"/>
    <xf numFmtId="0" fontId="80" fillId="37" borderId="552"/>
    <xf numFmtId="0" fontId="80" fillId="37" borderId="552"/>
    <xf numFmtId="0" fontId="84" fillId="28" borderId="552"/>
    <xf numFmtId="0" fontId="84" fillId="28" borderId="552"/>
    <xf numFmtId="0" fontId="84" fillId="28" borderId="552"/>
    <xf numFmtId="0" fontId="84" fillId="28" borderId="552"/>
    <xf numFmtId="0" fontId="84" fillId="28" borderId="552"/>
    <xf numFmtId="0" fontId="84" fillId="28" borderId="552"/>
    <xf numFmtId="0" fontId="84" fillId="28" borderId="552"/>
    <xf numFmtId="0" fontId="84" fillId="28" borderId="552"/>
    <xf numFmtId="0" fontId="84" fillId="28" borderId="552"/>
    <xf numFmtId="0" fontId="84" fillId="28" borderId="552"/>
    <xf numFmtId="0" fontId="84" fillId="28" borderId="552"/>
    <xf numFmtId="0" fontId="84" fillId="28" borderId="552"/>
    <xf numFmtId="0" fontId="84" fillId="28" borderId="552"/>
    <xf numFmtId="0" fontId="1" fillId="38" borderId="553"/>
    <xf numFmtId="0" fontId="1" fillId="38" borderId="553"/>
    <xf numFmtId="0" fontId="1" fillId="38"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8"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1" fillId="39" borderId="553"/>
    <xf numFmtId="0" fontId="87" fillId="37" borderId="554"/>
    <xf numFmtId="0" fontId="87" fillId="37" borderId="554"/>
    <xf numFmtId="0" fontId="87" fillId="37" borderId="554"/>
    <xf numFmtId="0" fontId="87" fillId="37" borderId="554"/>
    <xf numFmtId="0" fontId="87" fillId="37" borderId="554"/>
    <xf numFmtId="0" fontId="87" fillId="37" borderId="554"/>
    <xf numFmtId="0" fontId="87" fillId="37" borderId="554"/>
    <xf numFmtId="0" fontId="87" fillId="37" borderId="554"/>
    <xf numFmtId="0" fontId="87" fillId="37" borderId="554"/>
    <xf numFmtId="0" fontId="87" fillId="37" borderId="554"/>
    <xf numFmtId="0" fontId="87" fillId="37" borderId="554"/>
    <xf numFmtId="0" fontId="87" fillId="37" borderId="554"/>
    <xf numFmtId="0" fontId="87" fillId="37" borderId="554"/>
    <xf numFmtId="0" fontId="88" fillId="0" borderId="555"/>
    <xf numFmtId="0" fontId="88" fillId="0" borderId="555"/>
    <xf numFmtId="0" fontId="88" fillId="0" borderId="555"/>
    <xf numFmtId="0" fontId="88" fillId="0" borderId="555"/>
    <xf numFmtId="0" fontId="88" fillId="0" borderId="555"/>
    <xf numFmtId="0" fontId="88" fillId="0" borderId="555"/>
    <xf numFmtId="0" fontId="88" fillId="0" borderId="555"/>
    <xf numFmtId="0" fontId="88" fillId="0" borderId="555"/>
    <xf numFmtId="0" fontId="88" fillId="0" borderId="555"/>
    <xf numFmtId="0" fontId="88" fillId="0" borderId="555"/>
    <xf numFmtId="0" fontId="88" fillId="0" borderId="555"/>
    <xf numFmtId="0" fontId="88" fillId="0" borderId="555"/>
    <xf numFmtId="0" fontId="88" fillId="0" borderId="555"/>
    <xf numFmtId="0" fontId="80" fillId="37" borderId="552"/>
    <xf numFmtId="0" fontId="84" fillId="28" borderId="552"/>
    <xf numFmtId="0" fontId="1" fillId="39" borderId="553"/>
    <xf numFmtId="0" fontId="1" fillId="38" borderId="553"/>
    <xf numFmtId="0" fontId="87" fillId="37" borderId="554"/>
    <xf numFmtId="0" fontId="88" fillId="0" borderId="555"/>
    <xf numFmtId="0" fontId="80" fillId="37" borderId="552"/>
    <xf numFmtId="0" fontId="84" fillId="28" borderId="552"/>
    <xf numFmtId="0" fontId="1" fillId="39" borderId="553"/>
    <xf numFmtId="0" fontId="1" fillId="38" borderId="553"/>
    <xf numFmtId="0" fontId="87" fillId="37" borderId="554"/>
    <xf numFmtId="0" fontId="88" fillId="0" borderId="555"/>
    <xf numFmtId="0" fontId="80" fillId="37" borderId="552"/>
    <xf numFmtId="0" fontId="80" fillId="37" borderId="552"/>
    <xf numFmtId="0" fontId="80" fillId="37" borderId="552"/>
    <xf numFmtId="0" fontId="84" fillId="28" borderId="552"/>
    <xf numFmtId="0" fontId="84" fillId="28" borderId="552"/>
    <xf numFmtId="0" fontId="80" fillId="37" borderId="552"/>
    <xf numFmtId="0" fontId="1" fillId="39" borderId="553"/>
    <xf numFmtId="0" fontId="1" fillId="39" borderId="553"/>
    <xf numFmtId="0" fontId="87" fillId="37" borderId="554"/>
    <xf numFmtId="0" fontId="88" fillId="0" borderId="555"/>
    <xf numFmtId="0" fontId="80" fillId="37" borderId="552"/>
    <xf numFmtId="0" fontId="84" fillId="28" borderId="552"/>
    <xf numFmtId="0" fontId="84" fillId="28" borderId="552"/>
    <xf numFmtId="0" fontId="1" fillId="39" borderId="553"/>
    <xf numFmtId="0" fontId="1" fillId="39" borderId="553"/>
    <xf numFmtId="0" fontId="87" fillId="37" borderId="554"/>
    <xf numFmtId="0" fontId="88" fillId="0" borderId="555"/>
    <xf numFmtId="0" fontId="1" fillId="39" borderId="553"/>
    <xf numFmtId="0" fontId="1" fillId="39" borderId="553"/>
    <xf numFmtId="0" fontId="87" fillId="37" borderId="554"/>
    <xf numFmtId="0" fontId="88" fillId="0" borderId="555"/>
    <xf numFmtId="0" fontId="1" fillId="39" borderId="553"/>
    <xf numFmtId="0" fontId="1" fillId="39" borderId="553"/>
    <xf numFmtId="0" fontId="87" fillId="37" borderId="554"/>
    <xf numFmtId="0" fontId="88" fillId="0" borderId="555"/>
    <xf numFmtId="0" fontId="84" fillId="28" borderId="552"/>
    <xf numFmtId="0" fontId="1" fillId="39" borderId="553"/>
    <xf numFmtId="0" fontId="1" fillId="39" borderId="553"/>
    <xf numFmtId="0" fontId="87" fillId="37" borderId="554"/>
    <xf numFmtId="0" fontId="88" fillId="0" borderId="555"/>
    <xf numFmtId="0" fontId="80" fillId="37" borderId="552"/>
    <xf numFmtId="0" fontId="84" fillId="28" borderId="552"/>
    <xf numFmtId="0" fontId="1" fillId="39" borderId="553"/>
    <xf numFmtId="0" fontId="1" fillId="38" borderId="553"/>
    <xf numFmtId="0" fontId="87" fillId="37" borderId="554"/>
    <xf numFmtId="0" fontId="88" fillId="0" borderId="555"/>
    <xf numFmtId="0" fontId="80" fillId="37" borderId="552"/>
    <xf numFmtId="0" fontId="84" fillId="28" borderId="552"/>
    <xf numFmtId="0" fontId="1" fillId="39" borderId="553"/>
    <xf numFmtId="0" fontId="1" fillId="38" borderId="553"/>
    <xf numFmtId="0" fontId="87" fillId="37" borderId="554"/>
    <xf numFmtId="0" fontId="88" fillId="0" borderId="555"/>
    <xf numFmtId="0" fontId="80" fillId="37" borderId="552"/>
    <xf numFmtId="0" fontId="80" fillId="37" borderId="552"/>
    <xf numFmtId="0" fontId="80" fillId="37" borderId="552"/>
    <xf numFmtId="0" fontId="84" fillId="28" borderId="552"/>
    <xf numFmtId="0" fontId="84" fillId="28" borderId="552"/>
    <xf numFmtId="0" fontId="80" fillId="37" borderId="552"/>
    <xf numFmtId="0" fontId="1" fillId="39" borderId="553"/>
    <xf numFmtId="0" fontId="1" fillId="39" borderId="553"/>
    <xf numFmtId="0" fontId="87" fillId="37" borderId="554"/>
    <xf numFmtId="0" fontId="88" fillId="0" borderId="555"/>
    <xf numFmtId="0" fontId="80" fillId="37" borderId="552"/>
    <xf numFmtId="0" fontId="84" fillId="28" borderId="552"/>
    <xf numFmtId="0" fontId="84" fillId="28" borderId="552"/>
    <xf numFmtId="0" fontId="1" fillId="39" borderId="553"/>
    <xf numFmtId="0" fontId="1" fillId="39" borderId="553"/>
    <xf numFmtId="0" fontId="87" fillId="37" borderId="554"/>
    <xf numFmtId="0" fontId="88" fillId="0" borderId="555"/>
    <xf numFmtId="0" fontId="1" fillId="39" borderId="553"/>
    <xf numFmtId="0" fontId="1" fillId="39" borderId="553"/>
    <xf numFmtId="0" fontId="87" fillId="37" borderId="554"/>
    <xf numFmtId="0" fontId="88" fillId="0" borderId="555"/>
    <xf numFmtId="0" fontId="1" fillId="39" borderId="553"/>
    <xf numFmtId="0" fontId="1" fillId="39" borderId="553"/>
    <xf numFmtId="0" fontId="87" fillId="37" borderId="554"/>
    <xf numFmtId="0" fontId="88" fillId="0" borderId="555"/>
    <xf numFmtId="0" fontId="84" fillId="28" borderId="552"/>
    <xf numFmtId="0" fontId="1" fillId="39" borderId="553"/>
    <xf numFmtId="0" fontId="1" fillId="39" borderId="553"/>
    <xf numFmtId="0" fontId="87" fillId="37" borderId="554"/>
    <xf numFmtId="0" fontId="88" fillId="0" borderId="555"/>
    <xf numFmtId="0" fontId="88" fillId="0" borderId="559"/>
    <xf numFmtId="0" fontId="88" fillId="0" borderId="559"/>
    <xf numFmtId="0" fontId="88" fillId="0" borderId="559"/>
    <xf numFmtId="0" fontId="88" fillId="0" borderId="559"/>
    <xf numFmtId="0" fontId="88" fillId="0" borderId="559"/>
    <xf numFmtId="0" fontId="1" fillId="0" borderId="0"/>
    <xf numFmtId="0" fontId="85" fillId="0" borderId="0"/>
    <xf numFmtId="0" fontId="85" fillId="0" borderId="0"/>
    <xf numFmtId="0" fontId="80" fillId="37" borderId="556"/>
    <xf numFmtId="0" fontId="80" fillId="37" borderId="556"/>
    <xf numFmtId="0" fontId="80" fillId="37" borderId="556"/>
    <xf numFmtId="0" fontId="80" fillId="37" borderId="556"/>
    <xf numFmtId="0" fontId="80" fillId="37" borderId="556"/>
    <xf numFmtId="0" fontId="80" fillId="37" borderId="556"/>
    <xf numFmtId="0" fontId="80" fillId="37" borderId="556"/>
    <xf numFmtId="0" fontId="80" fillId="37" borderId="556"/>
    <xf numFmtId="0" fontId="80" fillId="37" borderId="556"/>
    <xf numFmtId="0" fontId="80" fillId="37" borderId="556"/>
    <xf numFmtId="0" fontId="80" fillId="37" borderId="556"/>
    <xf numFmtId="0" fontId="80" fillId="37" borderId="556"/>
    <xf numFmtId="0" fontId="80" fillId="37" borderId="556"/>
    <xf numFmtId="0" fontId="84" fillId="28" borderId="556"/>
    <xf numFmtId="0" fontId="84" fillId="28" borderId="556"/>
    <xf numFmtId="0" fontId="84" fillId="28" borderId="556"/>
    <xf numFmtId="0" fontId="84" fillId="28" borderId="556"/>
    <xf numFmtId="0" fontId="84" fillId="28" borderId="556"/>
    <xf numFmtId="0" fontId="84" fillId="28" borderId="556"/>
    <xf numFmtId="0" fontId="84" fillId="28" borderId="556"/>
    <xf numFmtId="0" fontId="84" fillId="28" borderId="556"/>
    <xf numFmtId="0" fontId="84" fillId="28" borderId="556"/>
    <xf numFmtId="0" fontId="84" fillId="28" borderId="556"/>
    <xf numFmtId="0" fontId="84" fillId="28" borderId="556"/>
    <xf numFmtId="0" fontId="84" fillId="28" borderId="556"/>
    <xf numFmtId="0" fontId="84" fillId="28" borderId="556"/>
    <xf numFmtId="0" fontId="1" fillId="38" borderId="557"/>
    <xf numFmtId="0" fontId="1" fillId="38" borderId="557"/>
    <xf numFmtId="0" fontId="1" fillId="38" borderId="557"/>
    <xf numFmtId="0" fontId="1" fillId="39" borderId="557"/>
    <xf numFmtId="0" fontId="1" fillId="39" borderId="557"/>
    <xf numFmtId="0" fontId="1" fillId="39" borderId="557"/>
    <xf numFmtId="0" fontId="1" fillId="39" borderId="557"/>
    <xf numFmtId="0" fontId="1" fillId="39" borderId="557"/>
    <xf numFmtId="0" fontId="1" fillId="39" borderId="557"/>
    <xf numFmtId="0" fontId="1" fillId="39" borderId="557"/>
    <xf numFmtId="0" fontId="1" fillId="39" borderId="557"/>
    <xf numFmtId="0" fontId="1" fillId="39" borderId="557"/>
    <xf numFmtId="0" fontId="1" fillId="39" borderId="557"/>
    <xf numFmtId="0" fontId="1" fillId="38" borderId="557"/>
    <xf numFmtId="0" fontId="1" fillId="39" borderId="557"/>
    <xf numFmtId="0" fontId="1" fillId="39" borderId="557"/>
    <xf numFmtId="0" fontId="1" fillId="39" borderId="557"/>
    <xf numFmtId="0" fontId="1" fillId="39" borderId="557"/>
    <xf numFmtId="0" fontId="1" fillId="39" borderId="557"/>
    <xf numFmtId="0" fontId="1" fillId="39" borderId="557"/>
    <xf numFmtId="0" fontId="1" fillId="39" borderId="557"/>
    <xf numFmtId="0" fontId="1" fillId="39" borderId="557"/>
    <xf numFmtId="0" fontId="1" fillId="39" borderId="557"/>
    <xf numFmtId="0" fontId="1" fillId="39" borderId="557"/>
    <xf numFmtId="0" fontId="1" fillId="39" borderId="557"/>
    <xf numFmtId="0" fontId="1" fillId="39" borderId="557"/>
    <xf numFmtId="0" fontId="1" fillId="39" borderId="557"/>
    <xf numFmtId="0" fontId="87" fillId="37" borderId="558"/>
    <xf numFmtId="0" fontId="87" fillId="37" borderId="558"/>
    <xf numFmtId="0" fontId="87" fillId="37" borderId="558"/>
    <xf numFmtId="0" fontId="87" fillId="37" borderId="558"/>
    <xf numFmtId="0" fontId="87" fillId="37" borderId="558"/>
    <xf numFmtId="0" fontId="87" fillId="37" borderId="558"/>
    <xf numFmtId="0" fontId="87" fillId="37" borderId="558"/>
    <xf numFmtId="0" fontId="87" fillId="37" borderId="558"/>
    <xf numFmtId="0" fontId="87" fillId="37" borderId="558"/>
    <xf numFmtId="0" fontId="87" fillId="37" borderId="558"/>
    <xf numFmtId="0" fontId="87" fillId="37" borderId="558"/>
    <xf numFmtId="0" fontId="87" fillId="37" borderId="558"/>
    <xf numFmtId="0" fontId="87" fillId="37" borderId="558"/>
    <xf numFmtId="0" fontId="88" fillId="0" borderId="559"/>
    <xf numFmtId="0" fontId="88" fillId="0" borderId="559"/>
    <xf numFmtId="0" fontId="88" fillId="0" borderId="559"/>
    <xf numFmtId="0" fontId="88" fillId="0" borderId="559"/>
    <xf numFmtId="0" fontId="88" fillId="0" borderId="559"/>
    <xf numFmtId="0" fontId="88" fillId="0" borderId="559"/>
    <xf numFmtId="0" fontId="88" fillId="0" borderId="559"/>
    <xf numFmtId="0" fontId="88" fillId="0" borderId="559"/>
    <xf numFmtId="0" fontId="88" fillId="0" borderId="559"/>
    <xf numFmtId="0" fontId="88" fillId="0" borderId="559"/>
    <xf numFmtId="0" fontId="88" fillId="0" borderId="559"/>
    <xf numFmtId="0" fontId="88" fillId="0" borderId="559"/>
    <xf numFmtId="0" fontId="88" fillId="0" borderId="559"/>
    <xf numFmtId="0" fontId="80" fillId="37" borderId="561"/>
    <xf numFmtId="0" fontId="84" fillId="28" borderId="561"/>
    <xf numFmtId="0" fontId="1" fillId="39" borderId="560"/>
    <xf numFmtId="0" fontId="1" fillId="38" borderId="560"/>
    <xf numFmtId="0" fontId="87" fillId="37" borderId="562"/>
    <xf numFmtId="0" fontId="88" fillId="0" borderId="563"/>
    <xf numFmtId="0" fontId="80" fillId="37" borderId="561"/>
    <xf numFmtId="0" fontId="84" fillId="28" borderId="561"/>
    <xf numFmtId="0" fontId="1" fillId="39" borderId="560"/>
    <xf numFmtId="0" fontId="1" fillId="38" borderId="560"/>
    <xf numFmtId="0" fontId="87" fillId="37" borderId="562"/>
    <xf numFmtId="0" fontId="88" fillId="0" borderId="563"/>
    <xf numFmtId="0" fontId="80" fillId="37" borderId="561"/>
    <xf numFmtId="0" fontId="80" fillId="37" borderId="561"/>
    <xf numFmtId="0" fontId="80" fillId="37" borderId="561"/>
    <xf numFmtId="0" fontId="84" fillId="28" borderId="561"/>
    <xf numFmtId="0" fontId="84" fillId="28" borderId="561"/>
    <xf numFmtId="0" fontId="80" fillId="37" borderId="561"/>
    <xf numFmtId="0" fontId="1" fillId="39" borderId="560"/>
    <xf numFmtId="0" fontId="1" fillId="39" borderId="560"/>
    <xf numFmtId="0" fontId="87" fillId="37" borderId="562"/>
    <xf numFmtId="0" fontId="88" fillId="0" borderId="563"/>
    <xf numFmtId="0" fontId="80" fillId="37" borderId="561"/>
    <xf numFmtId="0" fontId="84" fillId="28" borderId="561"/>
    <xf numFmtId="0" fontId="84" fillId="28" borderId="561"/>
    <xf numFmtId="0" fontId="1" fillId="39" borderId="560"/>
    <xf numFmtId="0" fontId="1" fillId="39" borderId="560"/>
    <xf numFmtId="0" fontId="87" fillId="37" borderId="562"/>
    <xf numFmtId="0" fontId="88" fillId="0" borderId="563"/>
    <xf numFmtId="0" fontId="1" fillId="39" borderId="560"/>
    <xf numFmtId="0" fontId="1" fillId="39" borderId="560"/>
    <xf numFmtId="0" fontId="87" fillId="37" borderId="562"/>
    <xf numFmtId="0" fontId="88" fillId="0" borderId="563"/>
    <xf numFmtId="0" fontId="1" fillId="39" borderId="560"/>
    <xf numFmtId="0" fontId="1" fillId="39" borderId="560"/>
    <xf numFmtId="0" fontId="87" fillId="37" borderId="562"/>
    <xf numFmtId="0" fontId="88" fillId="0" borderId="563"/>
    <xf numFmtId="0" fontId="84" fillId="28" borderId="561"/>
    <xf numFmtId="0" fontId="1" fillId="39" borderId="560"/>
    <xf numFmtId="0" fontId="1" fillId="39" borderId="560"/>
    <xf numFmtId="0" fontId="87" fillId="37" borderId="562"/>
    <xf numFmtId="0" fontId="88" fillId="0" borderId="563"/>
    <xf numFmtId="0" fontId="80" fillId="37" borderId="561"/>
    <xf numFmtId="0" fontId="84" fillId="28" borderId="561"/>
    <xf numFmtId="0" fontId="1" fillId="39" borderId="560"/>
    <xf numFmtId="0" fontId="1" fillId="38" borderId="560"/>
    <xf numFmtId="0" fontId="87" fillId="37" borderId="562"/>
    <xf numFmtId="0" fontId="88" fillId="0" borderId="563"/>
    <xf numFmtId="0" fontId="80" fillId="37" borderId="561"/>
    <xf numFmtId="0" fontId="84" fillId="28" borderId="561"/>
    <xf numFmtId="0" fontId="1" fillId="39" borderId="560"/>
    <xf numFmtId="0" fontId="1" fillId="38" borderId="560"/>
    <xf numFmtId="0" fontId="87" fillId="37" borderId="562"/>
    <xf numFmtId="0" fontId="88" fillId="0" borderId="563"/>
    <xf numFmtId="0" fontId="80" fillId="37" borderId="561"/>
    <xf numFmtId="0" fontId="80" fillId="37" borderId="561"/>
    <xf numFmtId="0" fontId="80" fillId="37" borderId="561"/>
    <xf numFmtId="0" fontId="84" fillId="28" borderId="561"/>
    <xf numFmtId="0" fontId="84" fillId="28" borderId="561"/>
    <xf numFmtId="0" fontId="80" fillId="37" borderId="561"/>
    <xf numFmtId="0" fontId="1" fillId="39" borderId="560"/>
    <xf numFmtId="0" fontId="1" fillId="39" borderId="560"/>
    <xf numFmtId="0" fontId="87" fillId="37" borderId="562"/>
    <xf numFmtId="0" fontId="88" fillId="0" borderId="563"/>
    <xf numFmtId="0" fontId="80" fillId="37" borderId="561"/>
    <xf numFmtId="0" fontId="84" fillId="28" borderId="561"/>
    <xf numFmtId="0" fontId="84" fillId="28" borderId="561"/>
    <xf numFmtId="0" fontId="1" fillId="39" borderId="560"/>
    <xf numFmtId="0" fontId="1" fillId="39" borderId="560"/>
    <xf numFmtId="0" fontId="87" fillId="37" borderId="562"/>
    <xf numFmtId="0" fontId="88" fillId="0" borderId="563"/>
    <xf numFmtId="0" fontId="1" fillId="39" borderId="560"/>
    <xf numFmtId="0" fontId="1" fillId="39" borderId="560"/>
    <xf numFmtId="0" fontId="87" fillId="37" borderId="562"/>
    <xf numFmtId="0" fontId="88" fillId="0" borderId="563"/>
    <xf numFmtId="0" fontId="1" fillId="39" borderId="560"/>
    <xf numFmtId="0" fontId="1" fillId="39" borderId="560"/>
    <xf numFmtId="0" fontId="87" fillId="37" borderId="562"/>
    <xf numFmtId="0" fontId="88" fillId="0" borderId="563"/>
    <xf numFmtId="0" fontId="84" fillId="28" borderId="561"/>
    <xf numFmtId="0" fontId="1" fillId="39" borderId="560"/>
    <xf numFmtId="0" fontId="1" fillId="39" borderId="560"/>
    <xf numFmtId="0" fontId="87" fillId="37" borderId="562"/>
    <xf numFmtId="0" fontId="88" fillId="0" borderId="563"/>
    <xf numFmtId="0" fontId="1" fillId="0" borderId="0"/>
    <xf numFmtId="0" fontId="1" fillId="0" borderId="0"/>
    <xf numFmtId="0" fontId="1" fillId="0" borderId="0"/>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1" fillId="38" borderId="565"/>
    <xf numFmtId="0" fontId="1" fillId="38" borderId="565"/>
    <xf numFmtId="0" fontId="1" fillId="38"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8"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1" fillId="38" borderId="565"/>
    <xf numFmtId="0" fontId="1" fillId="38" borderId="565"/>
    <xf numFmtId="0" fontId="1" fillId="38"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8"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0" fillId="37" borderId="564"/>
    <xf numFmtId="0" fontId="84" fillId="28" borderId="564"/>
    <xf numFmtId="0" fontId="1" fillId="39" borderId="565"/>
    <xf numFmtId="0" fontId="1" fillId="38" borderId="565"/>
    <xf numFmtId="0" fontId="87" fillId="37" borderId="566"/>
    <xf numFmtId="0" fontId="88" fillId="0" borderId="567"/>
    <xf numFmtId="0" fontId="80" fillId="37" borderId="564"/>
    <xf numFmtId="0" fontId="84" fillId="28" borderId="564"/>
    <xf numFmtId="0" fontId="1" fillId="39" borderId="565"/>
    <xf numFmtId="0" fontId="1" fillId="38" borderId="565"/>
    <xf numFmtId="0" fontId="87" fillId="37" borderId="566"/>
    <xf numFmtId="0" fontId="88" fillId="0" borderId="567"/>
    <xf numFmtId="0" fontId="80" fillId="37" borderId="564"/>
    <xf numFmtId="0" fontId="80" fillId="37" borderId="564"/>
    <xf numFmtId="0" fontId="80" fillId="37" borderId="564"/>
    <xf numFmtId="0" fontId="84" fillId="28" borderId="564"/>
    <xf numFmtId="0" fontId="84" fillId="28" borderId="564"/>
    <xf numFmtId="0" fontId="80" fillId="37" borderId="564"/>
    <xf numFmtId="0" fontId="1" fillId="39" borderId="565"/>
    <xf numFmtId="0" fontId="1" fillId="39" borderId="565"/>
    <xf numFmtId="0" fontId="87" fillId="37" borderId="566"/>
    <xf numFmtId="0" fontId="88" fillId="0" borderId="567"/>
    <xf numFmtId="0" fontId="80" fillId="37" borderId="564"/>
    <xf numFmtId="0" fontId="84" fillId="28" borderId="564"/>
    <xf numFmtId="0" fontId="84" fillId="28" borderId="564"/>
    <xf numFmtId="0" fontId="1" fillId="39" borderId="565"/>
    <xf numFmtId="0" fontId="1" fillId="39" borderId="565"/>
    <xf numFmtId="0" fontId="87" fillId="37" borderId="566"/>
    <xf numFmtId="0" fontId="88" fillId="0" borderId="567"/>
    <xf numFmtId="0" fontId="1" fillId="39" borderId="565"/>
    <xf numFmtId="0" fontId="1" fillId="39" borderId="565"/>
    <xf numFmtId="0" fontId="87" fillId="37" borderId="566"/>
    <xf numFmtId="0" fontId="88" fillId="0" borderId="567"/>
    <xf numFmtId="0" fontId="1" fillId="39" borderId="565"/>
    <xf numFmtId="0" fontId="1" fillId="39" borderId="565"/>
    <xf numFmtId="0" fontId="87" fillId="37" borderId="566"/>
    <xf numFmtId="0" fontId="88" fillId="0" borderId="567"/>
    <xf numFmtId="0" fontId="84" fillId="28" borderId="564"/>
    <xf numFmtId="0" fontId="1" fillId="39" borderId="565"/>
    <xf numFmtId="0" fontId="1" fillId="39" borderId="565"/>
    <xf numFmtId="0" fontId="87" fillId="37" borderId="566"/>
    <xf numFmtId="0" fontId="88" fillId="0" borderId="567"/>
    <xf numFmtId="0" fontId="80" fillId="37" borderId="564"/>
    <xf numFmtId="0" fontId="84" fillId="28" borderId="564"/>
    <xf numFmtId="0" fontId="1" fillId="39" borderId="565"/>
    <xf numFmtId="0" fontId="1" fillId="38" borderId="565"/>
    <xf numFmtId="0" fontId="87" fillId="37" borderId="566"/>
    <xf numFmtId="0" fontId="88" fillId="0" borderId="567"/>
    <xf numFmtId="0" fontId="80" fillId="37" borderId="564"/>
    <xf numFmtId="0" fontId="84" fillId="28" borderId="564"/>
    <xf numFmtId="0" fontId="1" fillId="39" borderId="565"/>
    <xf numFmtId="0" fontId="1" fillId="38" borderId="565"/>
    <xf numFmtId="0" fontId="87" fillId="37" borderId="566"/>
    <xf numFmtId="0" fontId="88" fillId="0" borderId="567"/>
    <xf numFmtId="0" fontId="80" fillId="37" borderId="564"/>
    <xf numFmtId="0" fontId="80" fillId="37" borderId="564"/>
    <xf numFmtId="0" fontId="80" fillId="37" borderId="564"/>
    <xf numFmtId="0" fontId="84" fillId="28" borderId="564"/>
    <xf numFmtId="0" fontId="84" fillId="28" borderId="564"/>
    <xf numFmtId="0" fontId="80" fillId="37" borderId="564"/>
    <xf numFmtId="0" fontId="1" fillId="39" borderId="565"/>
    <xf numFmtId="0" fontId="1" fillId="39" borderId="565"/>
    <xf numFmtId="0" fontId="87" fillId="37" borderId="566"/>
    <xf numFmtId="0" fontId="88" fillId="0" borderId="567"/>
    <xf numFmtId="0" fontId="80" fillId="37" borderId="564"/>
    <xf numFmtId="0" fontId="84" fillId="28" borderId="564"/>
    <xf numFmtId="0" fontId="84" fillId="28" borderId="564"/>
    <xf numFmtId="0" fontId="1" fillId="39" borderId="565"/>
    <xf numFmtId="0" fontId="1" fillId="39" borderId="565"/>
    <xf numFmtId="0" fontId="87" fillId="37" borderId="566"/>
    <xf numFmtId="0" fontId="88" fillId="0" borderId="567"/>
    <xf numFmtId="0" fontId="1" fillId="39" borderId="565"/>
    <xf numFmtId="0" fontId="1" fillId="39" borderId="565"/>
    <xf numFmtId="0" fontId="87" fillId="37" borderId="566"/>
    <xf numFmtId="0" fontId="88" fillId="0" borderId="567"/>
    <xf numFmtId="0" fontId="1" fillId="39" borderId="565"/>
    <xf numFmtId="0" fontId="1" fillId="39" borderId="565"/>
    <xf numFmtId="0" fontId="87" fillId="37" borderId="566"/>
    <xf numFmtId="0" fontId="88" fillId="0" borderId="567"/>
    <xf numFmtId="0" fontId="84" fillId="28" borderId="564"/>
    <xf numFmtId="0" fontId="1" fillId="39" borderId="565"/>
    <xf numFmtId="0" fontId="1" fillId="39" borderId="565"/>
    <xf numFmtId="0" fontId="87" fillId="37" borderId="566"/>
    <xf numFmtId="0" fontId="88" fillId="0" borderId="567"/>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1" fillId="38" borderId="560"/>
    <xf numFmtId="0" fontId="1" fillId="38" borderId="560"/>
    <xf numFmtId="0" fontId="1" fillId="38"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8"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1" fillId="38" borderId="560"/>
    <xf numFmtId="0" fontId="1" fillId="38" borderId="560"/>
    <xf numFmtId="0" fontId="1" fillId="38"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8"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1" fillId="39" borderId="560"/>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0" fillId="37" borderId="564"/>
    <xf numFmtId="0" fontId="84" fillId="28" borderId="564"/>
    <xf numFmtId="0" fontId="1" fillId="39" borderId="565"/>
    <xf numFmtId="0" fontId="1" fillId="38" borderId="565"/>
    <xf numFmtId="0" fontId="87" fillId="37" borderId="566"/>
    <xf numFmtId="0" fontId="88" fillId="0" borderId="567"/>
    <xf numFmtId="0" fontId="80" fillId="37" borderId="564"/>
    <xf numFmtId="0" fontId="84" fillId="28" borderId="564"/>
    <xf numFmtId="0" fontId="1" fillId="39" borderId="565"/>
    <xf numFmtId="0" fontId="1" fillId="38" borderId="565"/>
    <xf numFmtId="0" fontId="87" fillId="37" borderId="566"/>
    <xf numFmtId="0" fontId="88" fillId="0" borderId="567"/>
    <xf numFmtId="0" fontId="80" fillId="37" borderId="564"/>
    <xf numFmtId="0" fontId="80" fillId="37" borderId="564"/>
    <xf numFmtId="0" fontId="80" fillId="37" borderId="564"/>
    <xf numFmtId="0" fontId="84" fillId="28" borderId="564"/>
    <xf numFmtId="0" fontId="84" fillId="28" borderId="564"/>
    <xf numFmtId="0" fontId="80" fillId="37" borderId="564"/>
    <xf numFmtId="0" fontId="1" fillId="39" borderId="565"/>
    <xf numFmtId="0" fontId="1" fillId="39" borderId="565"/>
    <xf numFmtId="0" fontId="87" fillId="37" borderId="566"/>
    <xf numFmtId="0" fontId="88" fillId="0" borderId="567"/>
    <xf numFmtId="0" fontId="80" fillId="37" borderId="564"/>
    <xf numFmtId="0" fontId="84" fillId="28" borderId="564"/>
    <xf numFmtId="0" fontId="84" fillId="28" borderId="564"/>
    <xf numFmtId="0" fontId="1" fillId="39" borderId="565"/>
    <xf numFmtId="0" fontId="1" fillId="39" borderId="565"/>
    <xf numFmtId="0" fontId="87" fillId="37" borderId="566"/>
    <xf numFmtId="0" fontId="88" fillId="0" borderId="567"/>
    <xf numFmtId="0" fontId="1" fillId="39" borderId="565"/>
    <xf numFmtId="0" fontId="1" fillId="39" borderId="565"/>
    <xf numFmtId="0" fontId="87" fillId="37" borderId="566"/>
    <xf numFmtId="0" fontId="88" fillId="0" borderId="567"/>
    <xf numFmtId="0" fontId="1" fillId="39" borderId="565"/>
    <xf numFmtId="0" fontId="1" fillId="39" borderId="565"/>
    <xf numFmtId="0" fontId="87" fillId="37" borderId="566"/>
    <xf numFmtId="0" fontId="88" fillId="0" borderId="567"/>
    <xf numFmtId="0" fontId="84" fillId="28" borderId="564"/>
    <xf numFmtId="0" fontId="1" fillId="39" borderId="565"/>
    <xf numFmtId="0" fontId="1" fillId="39" borderId="565"/>
    <xf numFmtId="0" fontId="87" fillId="37" borderId="566"/>
    <xf numFmtId="0" fontId="88" fillId="0" borderId="567"/>
    <xf numFmtId="0" fontId="80" fillId="37" borderId="564"/>
    <xf numFmtId="0" fontId="84" fillId="28" borderId="564"/>
    <xf numFmtId="0" fontId="1" fillId="39" borderId="565"/>
    <xf numFmtId="0" fontId="1" fillId="38" borderId="565"/>
    <xf numFmtId="0" fontId="87" fillId="37" borderId="566"/>
    <xf numFmtId="0" fontId="88" fillId="0" borderId="567"/>
    <xf numFmtId="0" fontId="80" fillId="37" borderId="564"/>
    <xf numFmtId="0" fontId="84" fillId="28" borderId="564"/>
    <xf numFmtId="0" fontId="1" fillId="39" borderId="565"/>
    <xf numFmtId="0" fontId="1" fillId="38" borderId="565"/>
    <xf numFmtId="0" fontId="87" fillId="37" borderId="566"/>
    <xf numFmtId="0" fontId="88" fillId="0" borderId="567"/>
    <xf numFmtId="0" fontId="80" fillId="37" borderId="564"/>
    <xf numFmtId="0" fontId="80" fillId="37" borderId="564"/>
    <xf numFmtId="0" fontId="80" fillId="37" borderId="564"/>
    <xf numFmtId="0" fontId="84" fillId="28" borderId="564"/>
    <xf numFmtId="0" fontId="84" fillId="28" borderId="564"/>
    <xf numFmtId="0" fontId="80" fillId="37" borderId="564"/>
    <xf numFmtId="0" fontId="1" fillId="39" borderId="565"/>
    <xf numFmtId="0" fontId="1" fillId="39" borderId="565"/>
    <xf numFmtId="0" fontId="87" fillId="37" borderId="566"/>
    <xf numFmtId="0" fontId="88" fillId="0" borderId="567"/>
    <xf numFmtId="0" fontId="80" fillId="37" borderId="564"/>
    <xf numFmtId="0" fontId="84" fillId="28" borderId="564"/>
    <xf numFmtId="0" fontId="84" fillId="28" borderId="564"/>
    <xf numFmtId="0" fontId="1" fillId="39" borderId="565"/>
    <xf numFmtId="0" fontId="1" fillId="39" borderId="565"/>
    <xf numFmtId="0" fontId="87" fillId="37" borderId="566"/>
    <xf numFmtId="0" fontId="88" fillId="0" borderId="567"/>
    <xf numFmtId="0" fontId="1" fillId="39" borderId="565"/>
    <xf numFmtId="0" fontId="1" fillId="39" borderId="565"/>
    <xf numFmtId="0" fontId="87" fillId="37" borderId="566"/>
    <xf numFmtId="0" fontId="88" fillId="0" borderId="567"/>
    <xf numFmtId="0" fontId="1" fillId="39" borderId="565"/>
    <xf numFmtId="0" fontId="1" fillId="39" borderId="565"/>
    <xf numFmtId="0" fontId="87" fillId="37" borderId="566"/>
    <xf numFmtId="0" fontId="88" fillId="0" borderId="567"/>
    <xf numFmtId="0" fontId="84" fillId="28" borderId="564"/>
    <xf numFmtId="0" fontId="1" fillId="39" borderId="565"/>
    <xf numFmtId="0" fontId="1" fillId="39" borderId="565"/>
    <xf numFmtId="0" fontId="87" fillId="37" borderId="566"/>
    <xf numFmtId="0" fontId="88" fillId="0" borderId="567"/>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1" fillId="38" borderId="565"/>
    <xf numFmtId="0" fontId="1" fillId="38" borderId="565"/>
    <xf numFmtId="0" fontId="1" fillId="38"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8"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0" fillId="37"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84" fillId="28" borderId="564"/>
    <xf numFmtId="0" fontId="1" fillId="38" borderId="565"/>
    <xf numFmtId="0" fontId="1" fillId="38" borderId="565"/>
    <xf numFmtId="0" fontId="1" fillId="38"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8"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1" fillId="39" borderId="565"/>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7" fillId="37" borderId="566"/>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8" fillId="0" borderId="567"/>
    <xf numFmtId="0" fontId="80" fillId="37" borderId="564"/>
    <xf numFmtId="0" fontId="84" fillId="28" borderId="564"/>
    <xf numFmtId="0" fontId="1" fillId="39" borderId="565"/>
    <xf numFmtId="0" fontId="1" fillId="38" borderId="565"/>
    <xf numFmtId="0" fontId="87" fillId="37" borderId="566"/>
    <xf numFmtId="0" fontId="88" fillId="0" borderId="567"/>
    <xf numFmtId="0" fontId="80" fillId="37" borderId="564"/>
    <xf numFmtId="0" fontId="84" fillId="28" borderId="564"/>
    <xf numFmtId="0" fontId="1" fillId="39" borderId="565"/>
    <xf numFmtId="0" fontId="1" fillId="38" borderId="565"/>
    <xf numFmtId="0" fontId="87" fillId="37" borderId="566"/>
    <xf numFmtId="0" fontId="88" fillId="0" borderId="567"/>
    <xf numFmtId="0" fontId="80" fillId="37" borderId="564"/>
    <xf numFmtId="0" fontId="80" fillId="37" borderId="564"/>
    <xf numFmtId="0" fontId="80" fillId="37" borderId="564"/>
    <xf numFmtId="0" fontId="84" fillId="28" borderId="564"/>
    <xf numFmtId="0" fontId="84" fillId="28" borderId="564"/>
    <xf numFmtId="0" fontId="80" fillId="37" borderId="564"/>
    <xf numFmtId="0" fontId="1" fillId="39" borderId="565"/>
    <xf numFmtId="0" fontId="1" fillId="39" borderId="565"/>
    <xf numFmtId="0" fontId="87" fillId="37" borderId="566"/>
    <xf numFmtId="0" fontId="88" fillId="0" borderId="567"/>
    <xf numFmtId="0" fontId="80" fillId="37" borderId="564"/>
    <xf numFmtId="0" fontId="84" fillId="28" borderId="564"/>
    <xf numFmtId="0" fontId="84" fillId="28" borderId="564"/>
    <xf numFmtId="0" fontId="1" fillId="39" borderId="565"/>
    <xf numFmtId="0" fontId="1" fillId="39" borderId="565"/>
    <xf numFmtId="0" fontId="87" fillId="37" borderId="566"/>
    <xf numFmtId="0" fontId="88" fillId="0" borderId="567"/>
    <xf numFmtId="0" fontId="1" fillId="39" borderId="565"/>
    <xf numFmtId="0" fontId="1" fillId="39" borderId="565"/>
    <xf numFmtId="0" fontId="87" fillId="37" borderId="566"/>
    <xf numFmtId="0" fontId="88" fillId="0" borderId="567"/>
    <xf numFmtId="0" fontId="1" fillId="39" borderId="565"/>
    <xf numFmtId="0" fontId="1" fillId="39" borderId="565"/>
    <xf numFmtId="0" fontId="87" fillId="37" borderId="566"/>
    <xf numFmtId="0" fontId="88" fillId="0" borderId="567"/>
    <xf numFmtId="0" fontId="84" fillId="28" borderId="564"/>
    <xf numFmtId="0" fontId="1" fillId="39" borderId="565"/>
    <xf numFmtId="0" fontId="1" fillId="39" borderId="565"/>
    <xf numFmtId="0" fontId="87" fillId="37" borderId="566"/>
    <xf numFmtId="0" fontId="88" fillId="0" borderId="567"/>
    <xf numFmtId="0" fontId="80" fillId="37" borderId="564"/>
    <xf numFmtId="0" fontId="84" fillId="28" borderId="564"/>
    <xf numFmtId="0" fontId="1" fillId="39" borderId="565"/>
    <xf numFmtId="0" fontId="1" fillId="38" borderId="565"/>
    <xf numFmtId="0" fontId="87" fillId="37" borderId="566"/>
    <xf numFmtId="0" fontId="88" fillId="0" borderId="567"/>
    <xf numFmtId="0" fontId="80" fillId="37" borderId="564"/>
    <xf numFmtId="0" fontId="84" fillId="28" borderId="564"/>
    <xf numFmtId="0" fontId="1" fillId="39" borderId="565"/>
    <xf numFmtId="0" fontId="1" fillId="38" borderId="565"/>
    <xf numFmtId="0" fontId="87" fillId="37" borderId="566"/>
    <xf numFmtId="0" fontId="88" fillId="0" borderId="567"/>
    <xf numFmtId="0" fontId="80" fillId="37" borderId="564"/>
    <xf numFmtId="0" fontId="80" fillId="37" borderId="564"/>
    <xf numFmtId="0" fontId="80" fillId="37" borderId="564"/>
    <xf numFmtId="0" fontId="84" fillId="28" borderId="564"/>
    <xf numFmtId="0" fontId="84" fillId="28" borderId="564"/>
    <xf numFmtId="0" fontId="80" fillId="37" borderId="564"/>
    <xf numFmtId="0" fontId="1" fillId="39" borderId="565"/>
    <xf numFmtId="0" fontId="1" fillId="39" borderId="565"/>
    <xf numFmtId="0" fontId="87" fillId="37" borderId="566"/>
    <xf numFmtId="0" fontId="88" fillId="0" borderId="567"/>
    <xf numFmtId="0" fontId="80" fillId="37" borderId="564"/>
    <xf numFmtId="0" fontId="84" fillId="28" borderId="564"/>
    <xf numFmtId="0" fontId="84" fillId="28" borderId="564"/>
    <xf numFmtId="0" fontId="1" fillId="39" borderId="565"/>
    <xf numFmtId="0" fontId="1" fillId="39" borderId="565"/>
    <xf numFmtId="0" fontId="87" fillId="37" borderId="566"/>
    <xf numFmtId="0" fontId="88" fillId="0" borderId="567"/>
    <xf numFmtId="0" fontId="1" fillId="39" borderId="565"/>
    <xf numFmtId="0" fontId="1" fillId="39" borderId="565"/>
    <xf numFmtId="0" fontId="87" fillId="37" borderId="566"/>
    <xf numFmtId="0" fontId="88" fillId="0" borderId="567"/>
    <xf numFmtId="0" fontId="1" fillId="39" borderId="565"/>
    <xf numFmtId="0" fontId="1" fillId="39" borderId="565"/>
    <xf numFmtId="0" fontId="87" fillId="37" borderId="566"/>
    <xf numFmtId="0" fontId="88" fillId="0" borderId="567"/>
    <xf numFmtId="0" fontId="84" fillId="28" borderId="564"/>
    <xf numFmtId="0" fontId="1" fillId="39" borderId="565"/>
    <xf numFmtId="0" fontId="1" fillId="39" borderId="565"/>
    <xf numFmtId="0" fontId="87" fillId="37" borderId="566"/>
    <xf numFmtId="0" fontId="88" fillId="0" borderId="567"/>
    <xf numFmtId="0" fontId="12" fillId="0" borderId="0">
      <alignment vertical="top"/>
      <protection locked="0"/>
    </xf>
    <xf numFmtId="0" fontId="12" fillId="0" borderId="0" applyNumberFormat="0" applyFill="0" applyBorder="0" applyAlignment="0" applyProtection="0">
      <alignment vertical="top"/>
      <protection locked="0"/>
    </xf>
    <xf numFmtId="0" fontId="225" fillId="0" borderId="0"/>
    <xf numFmtId="0" fontId="288" fillId="77" borderId="0"/>
    <xf numFmtId="0" fontId="288" fillId="77" borderId="0"/>
    <xf numFmtId="0" fontId="288" fillId="77" borderId="0"/>
    <xf numFmtId="0" fontId="288" fillId="78" borderId="0"/>
    <xf numFmtId="0" fontId="288" fillId="78" borderId="0"/>
    <xf numFmtId="0" fontId="288" fillId="78" borderId="0"/>
    <xf numFmtId="0" fontId="288" fillId="79" borderId="0"/>
    <xf numFmtId="0" fontId="288" fillId="79" borderId="0"/>
    <xf numFmtId="0" fontId="288" fillId="79" borderId="0"/>
    <xf numFmtId="0" fontId="288" fillId="80" borderId="0"/>
    <xf numFmtId="0" fontId="288" fillId="80" borderId="0"/>
    <xf numFmtId="0" fontId="288" fillId="80" borderId="0"/>
    <xf numFmtId="0" fontId="288" fillId="69" borderId="0"/>
    <xf numFmtId="0" fontId="288" fillId="69" borderId="0"/>
    <xf numFmtId="0" fontId="288" fillId="69" borderId="0"/>
    <xf numFmtId="0" fontId="288" fillId="81" borderId="0"/>
    <xf numFmtId="0" fontId="288" fillId="81" borderId="0"/>
    <xf numFmtId="0" fontId="288" fillId="81" borderId="0"/>
    <xf numFmtId="0" fontId="288" fillId="82" borderId="0"/>
    <xf numFmtId="0" fontId="288" fillId="82" borderId="0"/>
    <xf numFmtId="0" fontId="288" fillId="82" borderId="0"/>
    <xf numFmtId="0" fontId="288" fillId="83" borderId="0"/>
    <xf numFmtId="0" fontId="288" fillId="83" borderId="0"/>
    <xf numFmtId="0" fontId="288" fillId="83" borderId="0"/>
    <xf numFmtId="0" fontId="288" fillId="70" borderId="0"/>
    <xf numFmtId="0" fontId="288" fillId="70" borderId="0"/>
    <xf numFmtId="0" fontId="288" fillId="70" borderId="0"/>
    <xf numFmtId="0" fontId="288" fillId="80" borderId="0"/>
    <xf numFmtId="0" fontId="288" fillId="80" borderId="0"/>
    <xf numFmtId="0" fontId="288" fillId="80" borderId="0"/>
    <xf numFmtId="0" fontId="288" fillId="82" borderId="0"/>
    <xf numFmtId="0" fontId="288" fillId="82" borderId="0"/>
    <xf numFmtId="0" fontId="288" fillId="82" borderId="0"/>
    <xf numFmtId="0" fontId="288" fillId="71" borderId="0"/>
    <xf numFmtId="0" fontId="288" fillId="71" borderId="0"/>
    <xf numFmtId="0" fontId="288" fillId="71" borderId="0"/>
    <xf numFmtId="174" fontId="136" fillId="0" borderId="0"/>
    <xf numFmtId="0" fontId="289" fillId="0" borderId="576"/>
    <xf numFmtId="0" fontId="289" fillId="0" borderId="576"/>
    <xf numFmtId="0" fontId="290" fillId="0" borderId="577"/>
    <xf numFmtId="0" fontId="290" fillId="0" borderId="577"/>
    <xf numFmtId="0" fontId="291" fillId="0" borderId="0">
      <alignment vertical="top"/>
    </xf>
    <xf numFmtId="9" fontId="136" fillId="0" borderId="0"/>
    <xf numFmtId="9" fontId="136" fillId="0" borderId="0"/>
    <xf numFmtId="9" fontId="288" fillId="0" borderId="0"/>
    <xf numFmtId="0" fontId="291" fillId="0" borderId="0">
      <alignment vertical="top"/>
    </xf>
    <xf numFmtId="0" fontId="44" fillId="0" borderId="0"/>
    <xf numFmtId="0" fontId="136" fillId="0" borderId="0"/>
    <xf numFmtId="0" fontId="44" fillId="0" borderId="0"/>
    <xf numFmtId="0" fontId="288" fillId="0" borderId="0"/>
  </cellStyleXfs>
  <cellXfs count="5869">
    <xf numFmtId="0" fontId="0" fillId="0" borderId="0" xfId="0"/>
    <xf numFmtId="0" fontId="5" fillId="0" borderId="0" xfId="2"/>
    <xf numFmtId="0" fontId="5" fillId="5" borderId="1" xfId="1" applyFont="1" applyFill="1" applyBorder="1" applyProtection="1">
      <protection hidden="1"/>
    </xf>
    <xf numFmtId="0" fontId="5" fillId="0" borderId="0" xfId="2" applyProtection="1">
      <protection hidden="1"/>
    </xf>
    <xf numFmtId="0" fontId="5" fillId="7" borderId="1" xfId="1" applyFont="1" applyFill="1" applyBorder="1" applyProtection="1">
      <protection hidden="1"/>
    </xf>
    <xf numFmtId="164" fontId="27" fillId="3" borderId="6" xfId="2" applyNumberFormat="1" applyFont="1" applyFill="1" applyBorder="1" applyAlignment="1" applyProtection="1">
      <alignment horizontal="right"/>
      <protection hidden="1"/>
    </xf>
    <xf numFmtId="0" fontId="26" fillId="5" borderId="22" xfId="2" applyFont="1" applyFill="1" applyBorder="1" applyAlignment="1" applyProtection="1">
      <alignment horizontal="right"/>
      <protection locked="0"/>
    </xf>
    <xf numFmtId="0" fontId="14" fillId="3" borderId="23" xfId="4" applyFont="1" applyFill="1" applyBorder="1" applyProtection="1">
      <protection hidden="1"/>
    </xf>
    <xf numFmtId="0" fontId="26" fillId="5" borderId="2" xfId="2" applyFont="1" applyFill="1" applyBorder="1" applyProtection="1">
      <protection locked="0"/>
    </xf>
    <xf numFmtId="0" fontId="14" fillId="3" borderId="2" xfId="4" applyFont="1" applyFill="1" applyBorder="1" applyProtection="1">
      <protection hidden="1"/>
    </xf>
    <xf numFmtId="0" fontId="26" fillId="5" borderId="22" xfId="2" applyFont="1" applyFill="1" applyBorder="1" applyProtection="1">
      <protection locked="0"/>
    </xf>
    <xf numFmtId="0" fontId="14" fillId="3" borderId="4" xfId="4" applyFont="1" applyFill="1" applyBorder="1" applyProtection="1">
      <protection hidden="1"/>
    </xf>
    <xf numFmtId="0" fontId="5" fillId="0" borderId="0" xfId="0" applyFont="1" applyProtection="1">
      <protection hidden="1"/>
    </xf>
    <xf numFmtId="164" fontId="5" fillId="0" borderId="0" xfId="1" applyNumberFormat="1" applyFont="1" applyAlignment="1" applyProtection="1">
      <alignment horizontal="center"/>
      <protection hidden="1"/>
    </xf>
    <xf numFmtId="0" fontId="5" fillId="0" borderId="0" xfId="2" applyBorder="1"/>
    <xf numFmtId="0" fontId="5" fillId="3" borderId="42" xfId="2" applyFill="1" applyBorder="1" applyAlignment="1" applyProtection="1">
      <alignment horizontal="center"/>
      <protection hidden="1"/>
    </xf>
    <xf numFmtId="0" fontId="5" fillId="0" borderId="42" xfId="2" applyBorder="1" applyAlignment="1" applyProtection="1">
      <alignment horizontal="center"/>
      <protection hidden="1"/>
    </xf>
    <xf numFmtId="0" fontId="5" fillId="5" borderId="42" xfId="2" applyFill="1" applyBorder="1" applyAlignment="1" applyProtection="1">
      <alignment horizontal="center"/>
      <protection locked="0"/>
    </xf>
    <xf numFmtId="166" fontId="5" fillId="0" borderId="42" xfId="2" applyNumberFormat="1" applyBorder="1" applyAlignment="1" applyProtection="1">
      <alignment horizontal="center"/>
      <protection hidden="1"/>
    </xf>
    <xf numFmtId="0" fontId="50" fillId="4" borderId="43" xfId="1" applyFont="1" applyFill="1" applyBorder="1" applyProtection="1">
      <protection hidden="1"/>
    </xf>
    <xf numFmtId="0" fontId="53" fillId="4" borderId="45" xfId="1" applyFont="1" applyFill="1" applyBorder="1" applyProtection="1">
      <protection hidden="1"/>
    </xf>
    <xf numFmtId="0" fontId="5" fillId="0" borderId="10" xfId="1" applyFont="1" applyBorder="1" applyAlignment="1" applyProtection="1">
      <alignment horizontal="center"/>
      <protection hidden="1"/>
    </xf>
    <xf numFmtId="0" fontId="5" fillId="0" borderId="21" xfId="1" applyFont="1" applyBorder="1" applyAlignment="1" applyProtection="1">
      <alignment horizontal="center"/>
      <protection hidden="1"/>
    </xf>
    <xf numFmtId="166" fontId="5" fillId="10" borderId="3" xfId="2" applyNumberFormat="1" applyFill="1" applyBorder="1" applyAlignment="1" applyProtection="1">
      <alignment horizontal="center" wrapText="1"/>
      <protection hidden="1"/>
    </xf>
    <xf numFmtId="0" fontId="55" fillId="0" borderId="12" xfId="1" applyFont="1" applyBorder="1" applyProtection="1">
      <protection hidden="1"/>
    </xf>
    <xf numFmtId="165" fontId="9" fillId="0" borderId="10" xfId="2" applyNumberFormat="1" applyFont="1" applyBorder="1" applyAlignment="1" applyProtection="1">
      <alignment horizontal="left"/>
      <protection hidden="1"/>
    </xf>
    <xf numFmtId="0" fontId="47" fillId="0" borderId="0" xfId="1" applyFont="1" applyProtection="1">
      <protection hidden="1"/>
    </xf>
    <xf numFmtId="0" fontId="47" fillId="0" borderId="10" xfId="1" applyFont="1" applyBorder="1" applyProtection="1">
      <protection hidden="1"/>
    </xf>
    <xf numFmtId="0" fontId="5" fillId="0" borderId="10" xfId="1" applyFont="1" applyBorder="1" applyProtection="1">
      <protection hidden="1"/>
    </xf>
    <xf numFmtId="166" fontId="5" fillId="10" borderId="42" xfId="2" applyNumberFormat="1" applyFill="1" applyBorder="1" applyAlignment="1" applyProtection="1">
      <alignment horizontal="center" wrapText="1"/>
      <protection hidden="1"/>
    </xf>
    <xf numFmtId="0" fontId="55" fillId="0" borderId="64" xfId="1" applyFont="1" applyBorder="1" applyProtection="1">
      <protection hidden="1"/>
    </xf>
    <xf numFmtId="0" fontId="27" fillId="4" borderId="65" xfId="1" applyFont="1" applyFill="1" applyBorder="1" applyProtection="1">
      <protection hidden="1"/>
    </xf>
    <xf numFmtId="0" fontId="5" fillId="4" borderId="66" xfId="1" applyFont="1" applyFill="1" applyBorder="1" applyAlignment="1" applyProtection="1">
      <alignment horizontal="left"/>
      <protection hidden="1"/>
    </xf>
    <xf numFmtId="49" fontId="16" fillId="0" borderId="0" xfId="1" applyNumberFormat="1" applyFont="1" applyAlignment="1" applyProtection="1">
      <alignment horizontal="center" vertical="center"/>
      <protection hidden="1"/>
    </xf>
    <xf numFmtId="0" fontId="57" fillId="4" borderId="45" xfId="1" applyFont="1" applyFill="1" applyBorder="1" applyProtection="1">
      <protection hidden="1"/>
    </xf>
    <xf numFmtId="164" fontId="1" fillId="0" borderId="0" xfId="1" applyNumberFormat="1" applyProtection="1">
      <protection hidden="1"/>
    </xf>
    <xf numFmtId="0" fontId="51" fillId="0" borderId="12" xfId="1" applyFont="1" applyBorder="1" applyProtection="1">
      <protection hidden="1"/>
    </xf>
    <xf numFmtId="0" fontId="51" fillId="0" borderId="27" xfId="1" applyFont="1" applyBorder="1" applyProtection="1">
      <protection hidden="1"/>
    </xf>
    <xf numFmtId="0" fontId="50" fillId="4" borderId="65" xfId="1" applyFont="1" applyFill="1" applyBorder="1" applyProtection="1">
      <protection hidden="1"/>
    </xf>
    <xf numFmtId="165" fontId="9" fillId="0" borderId="0" xfId="2" applyNumberFormat="1" applyFont="1" applyBorder="1" applyAlignment="1" applyProtection="1">
      <alignment horizontal="left"/>
      <protection hidden="1"/>
    </xf>
    <xf numFmtId="0" fontId="51" fillId="0" borderId="0" xfId="1" applyFont="1" applyProtection="1">
      <protection hidden="1"/>
    </xf>
    <xf numFmtId="166" fontId="5" fillId="10" borderId="42" xfId="2" applyNumberFormat="1" applyFill="1" applyBorder="1" applyAlignment="1" applyProtection="1">
      <alignment horizontal="center"/>
      <protection hidden="1"/>
    </xf>
    <xf numFmtId="0" fontId="58" fillId="4" borderId="45" xfId="1" applyFont="1" applyFill="1" applyBorder="1" applyAlignment="1" applyProtection="1">
      <protection hidden="1"/>
    </xf>
    <xf numFmtId="0" fontId="51" fillId="0" borderId="0" xfId="0" applyFont="1" applyProtection="1">
      <protection hidden="1"/>
    </xf>
    <xf numFmtId="0" fontId="27" fillId="4" borderId="65" xfId="1" applyFont="1" applyFill="1" applyBorder="1" applyAlignment="1" applyProtection="1">
      <protection hidden="1"/>
    </xf>
    <xf numFmtId="0" fontId="9" fillId="0" borderId="12" xfId="1" applyFont="1" applyBorder="1" applyProtection="1">
      <protection hidden="1"/>
    </xf>
    <xf numFmtId="0" fontId="37" fillId="4" borderId="65" xfId="1" applyFont="1" applyFill="1" applyBorder="1" applyProtection="1">
      <protection hidden="1"/>
    </xf>
    <xf numFmtId="0" fontId="36" fillId="0" borderId="12" xfId="1" applyFont="1" applyBorder="1" applyProtection="1">
      <protection hidden="1"/>
    </xf>
    <xf numFmtId="0" fontId="60" fillId="4" borderId="10" xfId="1" applyFont="1" applyFill="1" applyBorder="1" applyProtection="1">
      <protection hidden="1"/>
    </xf>
    <xf numFmtId="0" fontId="58" fillId="4" borderId="76" xfId="1" applyFont="1" applyFill="1" applyBorder="1" applyAlignment="1" applyProtection="1">
      <protection hidden="1"/>
    </xf>
    <xf numFmtId="0" fontId="61" fillId="0" borderId="12" xfId="1" applyFont="1" applyBorder="1" applyProtection="1">
      <protection hidden="1"/>
    </xf>
    <xf numFmtId="1" fontId="5" fillId="0" borderId="0" xfId="1" applyNumberFormat="1" applyFont="1" applyBorder="1" applyProtection="1">
      <protection hidden="1"/>
    </xf>
    <xf numFmtId="0" fontId="47" fillId="0" borderId="0" xfId="1" applyFont="1" applyAlignment="1" applyProtection="1">
      <alignment horizontal="right"/>
      <protection hidden="1"/>
    </xf>
    <xf numFmtId="0" fontId="5" fillId="0" borderId="6" xfId="1" applyFont="1" applyBorder="1" applyProtection="1">
      <protection hidden="1"/>
    </xf>
    <xf numFmtId="0" fontId="5" fillId="0" borderId="5" xfId="1" applyFont="1" applyBorder="1" applyProtection="1">
      <protection hidden="1"/>
    </xf>
    <xf numFmtId="0" fontId="1" fillId="0" borderId="21" xfId="1" applyBorder="1" applyProtection="1">
      <protection hidden="1"/>
    </xf>
    <xf numFmtId="0" fontId="61" fillId="0" borderId="83" xfId="1" applyFont="1" applyBorder="1" applyProtection="1">
      <protection hidden="1"/>
    </xf>
    <xf numFmtId="0" fontId="66" fillId="0" borderId="0" xfId="2" applyFont="1" applyProtection="1">
      <protection hidden="1"/>
    </xf>
    <xf numFmtId="164" fontId="65" fillId="0" borderId="0" xfId="2" applyNumberFormat="1" applyFont="1" applyProtection="1">
      <protection hidden="1"/>
    </xf>
    <xf numFmtId="0" fontId="69" fillId="3" borderId="6" xfId="2" applyFont="1" applyFill="1" applyBorder="1" applyAlignment="1" applyProtection="1">
      <alignment vertical="top" wrapText="1"/>
      <protection hidden="1"/>
    </xf>
    <xf numFmtId="0" fontId="5" fillId="16" borderId="42" xfId="2" applyNumberFormat="1" applyFont="1" applyFill="1" applyBorder="1" applyAlignment="1" applyProtection="1">
      <alignment horizontal="center"/>
      <protection locked="0"/>
    </xf>
    <xf numFmtId="0" fontId="9" fillId="4" borderId="42" xfId="0" applyFont="1" applyFill="1" applyBorder="1" applyAlignment="1" applyProtection="1">
      <alignment horizontal="center"/>
      <protection hidden="1"/>
    </xf>
    <xf numFmtId="0" fontId="5" fillId="6" borderId="42" xfId="0" applyFont="1" applyFill="1" applyBorder="1" applyAlignment="1" applyProtection="1">
      <alignment horizontal="center"/>
      <protection locked="0"/>
    </xf>
    <xf numFmtId="0" fontId="8" fillId="3" borderId="0" xfId="0" applyFont="1" applyFill="1" applyAlignment="1" applyProtection="1">
      <alignment vertical="center"/>
      <protection hidden="1"/>
    </xf>
    <xf numFmtId="0" fontId="72" fillId="0" borderId="0" xfId="1" applyFont="1" applyProtection="1">
      <protection hidden="1"/>
    </xf>
    <xf numFmtId="0" fontId="1" fillId="3" borderId="0" xfId="0" applyFont="1" applyFill="1" applyProtection="1">
      <protection hidden="1"/>
    </xf>
    <xf numFmtId="0" fontId="5" fillId="4" borderId="0" xfId="2" applyFill="1" applyAlignment="1" applyProtection="1">
      <alignment vertical="top"/>
      <protection hidden="1"/>
    </xf>
    <xf numFmtId="0" fontId="47" fillId="0" borderId="89" xfId="1" applyFont="1" applyBorder="1" applyAlignment="1" applyProtection="1">
      <alignment horizontal="center"/>
      <protection hidden="1"/>
    </xf>
    <xf numFmtId="0" fontId="47" fillId="0" borderId="0" xfId="1" applyFont="1" applyBorder="1" applyAlignment="1" applyProtection="1">
      <alignment horizontal="center"/>
      <protection hidden="1"/>
    </xf>
    <xf numFmtId="0" fontId="73" fillId="0" borderId="0" xfId="1" applyFont="1" applyBorder="1" applyAlignment="1" applyProtection="1">
      <alignment horizontal="center"/>
      <protection hidden="1"/>
    </xf>
    <xf numFmtId="0" fontId="5" fillId="0" borderId="0" xfId="2" applyFont="1" applyBorder="1" applyProtection="1">
      <protection hidden="1"/>
    </xf>
    <xf numFmtId="0" fontId="5" fillId="0" borderId="0" xfId="0" applyFont="1" applyBorder="1" applyAlignment="1" applyProtection="1">
      <alignment horizontal="center"/>
      <protection hidden="1"/>
    </xf>
    <xf numFmtId="0" fontId="5" fillId="0" borderId="21" xfId="2" applyFont="1" applyBorder="1" applyAlignment="1" applyProtection="1">
      <alignment horizontal="center"/>
      <protection hidden="1"/>
    </xf>
    <xf numFmtId="164" fontId="5" fillId="0" borderId="42" xfId="0" applyNumberFormat="1" applyFont="1" applyBorder="1" applyAlignment="1" applyProtection="1">
      <alignment horizontal="center"/>
      <protection hidden="1"/>
    </xf>
    <xf numFmtId="0" fontId="8" fillId="0" borderId="0" xfId="1" applyFont="1" applyBorder="1" applyAlignment="1" applyProtection="1">
      <alignment horizontal="center"/>
      <protection hidden="1"/>
    </xf>
    <xf numFmtId="0" fontId="73" fillId="0" borderId="89" xfId="1" applyFont="1" applyBorder="1" applyAlignment="1" applyProtection="1">
      <alignment horizontal="center"/>
      <protection hidden="1"/>
    </xf>
    <xf numFmtId="0" fontId="8" fillId="0" borderId="89" xfId="1" applyFont="1" applyBorder="1" applyAlignment="1" applyProtection="1">
      <alignment horizontal="center"/>
      <protection hidden="1"/>
    </xf>
    <xf numFmtId="0" fontId="5" fillId="0" borderId="0" xfId="7" applyProtection="1">
      <protection hidden="1"/>
    </xf>
    <xf numFmtId="0" fontId="1" fillId="0" borderId="0" xfId="0" applyFont="1"/>
    <xf numFmtId="0" fontId="1" fillId="0" borderId="10" xfId="1" applyBorder="1" applyProtection="1">
      <protection hidden="1"/>
    </xf>
    <xf numFmtId="0" fontId="61" fillId="2" borderId="95" xfId="1" applyFont="1" applyFill="1" applyBorder="1" applyAlignment="1" applyProtection="1">
      <alignment horizontal="left"/>
      <protection hidden="1"/>
    </xf>
    <xf numFmtId="1" fontId="5" fillId="2" borderId="95" xfId="1" applyNumberFormat="1" applyFont="1" applyFill="1" applyBorder="1" applyAlignment="1" applyProtection="1">
      <alignment horizontal="center"/>
      <protection hidden="1"/>
    </xf>
    <xf numFmtId="0" fontId="5" fillId="2" borderId="95" xfId="2" applyFill="1" applyBorder="1" applyAlignment="1" applyProtection="1">
      <alignment horizontal="center"/>
      <protection hidden="1"/>
    </xf>
    <xf numFmtId="0" fontId="5" fillId="2" borderId="96" xfId="1" applyFont="1" applyFill="1" applyBorder="1" applyAlignment="1" applyProtection="1">
      <alignment horizontal="center"/>
      <protection hidden="1"/>
    </xf>
    <xf numFmtId="0" fontId="1" fillId="0" borderId="94" xfId="0" applyFont="1" applyBorder="1" applyProtection="1">
      <protection hidden="1"/>
    </xf>
    <xf numFmtId="0" fontId="1" fillId="0" borderId="16" xfId="1" applyFill="1" applyBorder="1" applyProtection="1">
      <protection hidden="1"/>
    </xf>
    <xf numFmtId="0" fontId="1" fillId="0" borderId="17" xfId="1" applyFill="1" applyBorder="1" applyProtection="1">
      <protection hidden="1"/>
    </xf>
    <xf numFmtId="0" fontId="1" fillId="0" borderId="17" xfId="0" applyFont="1" applyFill="1" applyBorder="1" applyProtection="1">
      <protection hidden="1"/>
    </xf>
    <xf numFmtId="0" fontId="1" fillId="0" borderId="20" xfId="0" applyFont="1" applyFill="1" applyBorder="1" applyProtection="1">
      <protection hidden="1"/>
    </xf>
    <xf numFmtId="0" fontId="1" fillId="4" borderId="0" xfId="1" applyFill="1" applyProtection="1">
      <protection hidden="1"/>
    </xf>
    <xf numFmtId="0" fontId="1" fillId="0" borderId="5" xfId="0" applyFont="1" applyBorder="1" applyProtection="1">
      <protection hidden="1"/>
    </xf>
    <xf numFmtId="0" fontId="1" fillId="0" borderId="6" xfId="0" applyFont="1" applyBorder="1" applyProtection="1">
      <protection hidden="1"/>
    </xf>
    <xf numFmtId="0" fontId="47" fillId="0" borderId="99" xfId="1" applyFont="1" applyBorder="1" applyAlignment="1" applyProtection="1">
      <alignment horizontal="center"/>
      <protection hidden="1"/>
    </xf>
    <xf numFmtId="0" fontId="47" fillId="0" borderId="6" xfId="1" applyFont="1" applyBorder="1" applyAlignment="1" applyProtection="1">
      <alignment horizontal="center"/>
      <protection hidden="1"/>
    </xf>
    <xf numFmtId="0" fontId="5" fillId="0" borderId="6" xfId="1" applyFont="1" applyBorder="1" applyAlignment="1" applyProtection="1">
      <alignment horizontal="center"/>
      <protection hidden="1"/>
    </xf>
    <xf numFmtId="0" fontId="77" fillId="0" borderId="9" xfId="1" applyFont="1" applyBorder="1" applyAlignment="1" applyProtection="1">
      <alignment horizontal="center"/>
      <protection hidden="1"/>
    </xf>
    <xf numFmtId="0" fontId="1" fillId="0" borderId="100" xfId="0" applyFont="1" applyBorder="1" applyProtection="1">
      <protection hidden="1"/>
    </xf>
    <xf numFmtId="0" fontId="1" fillId="0" borderId="79" xfId="0" applyFont="1" applyBorder="1" applyProtection="1">
      <protection hidden="1"/>
    </xf>
    <xf numFmtId="0" fontId="47" fillId="0" borderId="79" xfId="1" applyFont="1" applyBorder="1" applyAlignment="1" applyProtection="1">
      <alignment horizontal="center"/>
      <protection hidden="1"/>
    </xf>
    <xf numFmtId="0" fontId="47" fillId="0" borderId="89" xfId="0" applyFont="1" applyBorder="1" applyAlignment="1" applyProtection="1">
      <alignment horizontal="center"/>
      <protection hidden="1"/>
    </xf>
    <xf numFmtId="0" fontId="5" fillId="0" borderId="89" xfId="0" applyFont="1" applyBorder="1" applyAlignment="1" applyProtection="1">
      <alignment horizontal="center"/>
      <protection hidden="1"/>
    </xf>
    <xf numFmtId="0" fontId="5" fillId="0" borderId="58" xfId="0" applyFont="1" applyBorder="1" applyProtection="1">
      <protection hidden="1"/>
    </xf>
    <xf numFmtId="0" fontId="1" fillId="0" borderId="89" xfId="1" applyBorder="1" applyAlignment="1" applyProtection="1">
      <alignment horizontal="center"/>
      <protection hidden="1"/>
    </xf>
    <xf numFmtId="1" fontId="44" fillId="0" borderId="10" xfId="2" applyNumberFormat="1" applyFont="1" applyFill="1" applyBorder="1" applyAlignment="1" applyProtection="1">
      <alignment horizontal="left"/>
      <protection hidden="1"/>
    </xf>
    <xf numFmtId="0" fontId="1" fillId="0" borderId="0" xfId="2" applyFont="1"/>
    <xf numFmtId="0" fontId="1" fillId="0" borderId="0" xfId="198" applyFont="1"/>
    <xf numFmtId="0" fontId="1" fillId="3" borderId="0" xfId="198" applyFont="1" applyFill="1" applyProtection="1">
      <protection hidden="1"/>
    </xf>
    <xf numFmtId="0" fontId="1" fillId="4" borderId="0" xfId="198" applyFont="1" applyFill="1" applyProtection="1">
      <protection hidden="1"/>
    </xf>
    <xf numFmtId="0" fontId="11" fillId="3" borderId="0" xfId="198" applyFont="1" applyFill="1" applyProtection="1">
      <protection hidden="1"/>
    </xf>
    <xf numFmtId="0" fontId="47" fillId="3" borderId="0" xfId="198" applyFont="1" applyFill="1" applyAlignment="1" applyProtection="1">
      <protection hidden="1"/>
    </xf>
    <xf numFmtId="0" fontId="4" fillId="3" borderId="0" xfId="198" applyFont="1" applyFill="1" applyAlignment="1" applyProtection="1">
      <alignment vertical="center"/>
      <protection hidden="1"/>
    </xf>
    <xf numFmtId="0" fontId="4" fillId="3" borderId="0" xfId="198" applyFont="1" applyFill="1" applyAlignment="1" applyProtection="1">
      <alignment horizontal="center" vertical="center"/>
      <protection hidden="1"/>
    </xf>
    <xf numFmtId="0" fontId="5" fillId="3" borderId="0" xfId="198" applyFont="1" applyFill="1" applyAlignment="1" applyProtection="1">
      <alignment horizontal="right"/>
      <protection hidden="1"/>
    </xf>
    <xf numFmtId="0" fontId="5" fillId="0" borderId="0" xfId="198" applyFont="1" applyAlignment="1" applyProtection="1">
      <alignment horizontal="center"/>
      <protection hidden="1"/>
    </xf>
    <xf numFmtId="0" fontId="93" fillId="3" borderId="0" xfId="198" applyFont="1" applyFill="1" applyProtection="1">
      <protection hidden="1"/>
    </xf>
    <xf numFmtId="0" fontId="5" fillId="0" borderId="0" xfId="198" applyFont="1" applyAlignment="1" applyProtection="1">
      <alignment horizontal="right"/>
      <protection hidden="1"/>
    </xf>
    <xf numFmtId="0" fontId="5" fillId="3" borderId="123" xfId="2" applyFill="1" applyBorder="1" applyProtection="1">
      <protection hidden="1"/>
    </xf>
    <xf numFmtId="164" fontId="25" fillId="3" borderId="126" xfId="2" applyNumberFormat="1" applyFont="1" applyFill="1" applyBorder="1" applyProtection="1">
      <protection hidden="1"/>
    </xf>
    <xf numFmtId="166" fontId="5" fillId="0" borderId="0" xfId="198" applyNumberFormat="1" applyFont="1" applyProtection="1">
      <protection hidden="1"/>
    </xf>
    <xf numFmtId="165" fontId="5" fillId="0" borderId="0" xfId="198" applyNumberFormat="1" applyFont="1" applyProtection="1">
      <protection hidden="1"/>
    </xf>
    <xf numFmtId="0" fontId="14" fillId="3" borderId="116" xfId="4" applyFont="1" applyFill="1" applyBorder="1" applyProtection="1">
      <protection hidden="1"/>
    </xf>
    <xf numFmtId="0" fontId="26" fillId="5" borderId="118" xfId="2" applyFont="1" applyFill="1" applyBorder="1" applyProtection="1">
      <protection locked="0"/>
    </xf>
    <xf numFmtId="0" fontId="14" fillId="3" borderId="118" xfId="4" applyFont="1" applyFill="1" applyBorder="1" applyProtection="1">
      <protection hidden="1"/>
    </xf>
    <xf numFmtId="0" fontId="5" fillId="3" borderId="24" xfId="198" applyFont="1" applyFill="1" applyBorder="1" applyProtection="1">
      <protection hidden="1"/>
    </xf>
    <xf numFmtId="2" fontId="25" fillId="3" borderId="26" xfId="198" applyNumberFormat="1" applyFont="1" applyFill="1" applyBorder="1" applyProtection="1">
      <protection hidden="1"/>
    </xf>
    <xf numFmtId="1" fontId="5" fillId="3" borderId="123" xfId="198" applyNumberFormat="1" applyFont="1" applyFill="1" applyBorder="1" applyProtection="1">
      <protection hidden="1"/>
    </xf>
    <xf numFmtId="1" fontId="5" fillId="3" borderId="0" xfId="198" applyNumberFormat="1" applyFont="1" applyFill="1" applyBorder="1" applyProtection="1">
      <protection hidden="1"/>
    </xf>
    <xf numFmtId="0" fontId="5" fillId="3" borderId="123" xfId="198" applyFont="1" applyFill="1" applyBorder="1" applyProtection="1">
      <protection hidden="1"/>
    </xf>
    <xf numFmtId="1" fontId="5" fillId="3" borderId="24" xfId="198" applyNumberFormat="1" applyFont="1" applyFill="1" applyBorder="1" applyProtection="1">
      <protection hidden="1"/>
    </xf>
    <xf numFmtId="1" fontId="5" fillId="3" borderId="25" xfId="198" applyNumberFormat="1" applyFont="1" applyFill="1" applyBorder="1" applyProtection="1">
      <protection hidden="1"/>
    </xf>
    <xf numFmtId="0" fontId="16" fillId="3" borderId="123" xfId="198" applyFont="1" applyFill="1" applyBorder="1" applyProtection="1">
      <protection hidden="1"/>
    </xf>
    <xf numFmtId="1" fontId="26" fillId="3" borderId="123" xfId="198" applyNumberFormat="1" applyFont="1" applyFill="1" applyBorder="1" applyProtection="1">
      <protection hidden="1"/>
    </xf>
    <xf numFmtId="1" fontId="26" fillId="3" borderId="0" xfId="198" applyNumberFormat="1" applyFont="1" applyFill="1" applyBorder="1" applyProtection="1">
      <protection hidden="1"/>
    </xf>
    <xf numFmtId="0" fontId="5" fillId="3" borderId="21" xfId="198" applyFont="1" applyFill="1" applyBorder="1" applyProtection="1">
      <protection hidden="1"/>
    </xf>
    <xf numFmtId="0" fontId="5" fillId="3" borderId="0" xfId="198" applyFont="1" applyFill="1" applyBorder="1" applyProtection="1">
      <protection hidden="1"/>
    </xf>
    <xf numFmtId="0" fontId="38" fillId="3" borderId="123" xfId="198" applyFont="1" applyFill="1" applyBorder="1" applyProtection="1">
      <protection hidden="1"/>
    </xf>
    <xf numFmtId="164" fontId="5" fillId="3" borderId="123" xfId="198" applyNumberFormat="1" applyFont="1" applyFill="1" applyBorder="1" applyProtection="1">
      <protection hidden="1"/>
    </xf>
    <xf numFmtId="164" fontId="5" fillId="3" borderId="0" xfId="198" applyNumberFormat="1" applyFont="1" applyFill="1" applyBorder="1" applyProtection="1">
      <protection hidden="1"/>
    </xf>
    <xf numFmtId="0" fontId="23" fillId="3" borderId="129" xfId="198" applyFont="1" applyFill="1" applyBorder="1" applyAlignment="1" applyProtection="1">
      <alignment horizontal="right"/>
      <protection hidden="1"/>
    </xf>
    <xf numFmtId="0" fontId="5" fillId="3" borderId="20" xfId="198" applyFont="1" applyFill="1" applyBorder="1" applyProtection="1">
      <protection hidden="1"/>
    </xf>
    <xf numFmtId="0" fontId="5" fillId="0" borderId="0" xfId="2" applyAlignment="1" applyProtection="1">
      <alignment horizontal="center"/>
      <protection hidden="1"/>
    </xf>
    <xf numFmtId="0" fontId="23" fillId="3" borderId="0" xfId="198" applyFont="1" applyFill="1" applyBorder="1" applyAlignment="1" applyProtection="1">
      <alignment horizontal="right"/>
      <protection hidden="1"/>
    </xf>
    <xf numFmtId="0" fontId="1" fillId="0" borderId="0" xfId="198" applyFont="1" applyProtection="1">
      <protection hidden="1"/>
    </xf>
    <xf numFmtId="0" fontId="5" fillId="3" borderId="0" xfId="198" applyFont="1" applyFill="1" applyProtection="1">
      <protection hidden="1"/>
    </xf>
    <xf numFmtId="0" fontId="5" fillId="3" borderId="124" xfId="2" applyFill="1" applyBorder="1" applyAlignment="1" applyProtection="1">
      <alignment horizontal="center"/>
      <protection hidden="1"/>
    </xf>
    <xf numFmtId="0" fontId="47" fillId="3" borderId="0" xfId="198" applyFont="1" applyFill="1" applyAlignment="1" applyProtection="1">
      <alignment horizontal="right"/>
      <protection hidden="1"/>
    </xf>
    <xf numFmtId="0" fontId="26" fillId="0" borderId="0" xfId="2" applyFont="1" applyAlignment="1" applyProtection="1">
      <alignment horizontal="center"/>
      <protection hidden="1"/>
    </xf>
    <xf numFmtId="0" fontId="1" fillId="0" borderId="0" xfId="2" applyFont="1" applyProtection="1">
      <protection hidden="1"/>
    </xf>
    <xf numFmtId="0" fontId="26" fillId="0" borderId="123" xfId="2" applyFont="1" applyBorder="1" applyAlignment="1" applyProtection="1">
      <alignment horizontal="left"/>
      <protection hidden="1"/>
    </xf>
    <xf numFmtId="0" fontId="9" fillId="0" borderId="123" xfId="2" applyFont="1" applyBorder="1" applyAlignment="1" applyProtection="1">
      <alignment horizontal="center"/>
      <protection hidden="1"/>
    </xf>
    <xf numFmtId="0" fontId="14" fillId="4" borderId="119" xfId="1" applyFont="1" applyFill="1" applyBorder="1" applyProtection="1">
      <protection hidden="1"/>
    </xf>
    <xf numFmtId="0" fontId="47" fillId="0" borderId="123" xfId="2" applyFont="1" applyBorder="1" applyProtection="1">
      <protection hidden="1"/>
    </xf>
    <xf numFmtId="0" fontId="95" fillId="0" borderId="117" xfId="2" applyFont="1" applyBorder="1" applyProtection="1">
      <protection hidden="1"/>
    </xf>
    <xf numFmtId="1" fontId="5" fillId="0" borderId="123" xfId="2" applyNumberFormat="1" applyBorder="1" applyProtection="1">
      <protection hidden="1"/>
    </xf>
    <xf numFmtId="0" fontId="102" fillId="3" borderId="0" xfId="198" applyFont="1" applyFill="1" applyAlignment="1" applyProtection="1">
      <alignment textRotation="90" wrapText="1"/>
      <protection hidden="1"/>
    </xf>
    <xf numFmtId="0" fontId="1" fillId="3" borderId="0" xfId="198" applyFont="1" applyFill="1"/>
    <xf numFmtId="1" fontId="66" fillId="0" borderId="123" xfId="2" applyNumberFormat="1" applyFont="1" applyBorder="1" applyProtection="1">
      <protection hidden="1"/>
    </xf>
    <xf numFmtId="0" fontId="108" fillId="0" borderId="123" xfId="2" applyFont="1" applyBorder="1" applyProtection="1">
      <protection hidden="1"/>
    </xf>
    <xf numFmtId="1" fontId="44" fillId="0" borderId="119" xfId="2" applyNumberFormat="1" applyFont="1" applyFill="1" applyBorder="1" applyAlignment="1" applyProtection="1">
      <alignment horizontal="left"/>
      <protection hidden="1"/>
    </xf>
    <xf numFmtId="1" fontId="44" fillId="0" borderId="117" xfId="2" applyNumberFormat="1" applyFont="1" applyFill="1" applyBorder="1" applyAlignment="1" applyProtection="1">
      <alignment horizontal="left"/>
      <protection hidden="1"/>
    </xf>
    <xf numFmtId="1" fontId="44" fillId="0" borderId="120" xfId="2" applyNumberFormat="1" applyFont="1" applyFill="1" applyBorder="1" applyAlignment="1" applyProtection="1">
      <alignment horizontal="left"/>
      <protection hidden="1"/>
    </xf>
    <xf numFmtId="4" fontId="5" fillId="0" borderId="0" xfId="198" applyNumberFormat="1" applyFont="1" applyProtection="1">
      <protection hidden="1"/>
    </xf>
    <xf numFmtId="0" fontId="5" fillId="14" borderId="123" xfId="2" applyFill="1" applyBorder="1" applyProtection="1">
      <protection hidden="1"/>
    </xf>
    <xf numFmtId="4" fontId="1" fillId="0" borderId="0" xfId="198" applyNumberFormat="1" applyFont="1" applyProtection="1">
      <protection hidden="1"/>
    </xf>
    <xf numFmtId="0" fontId="5" fillId="6" borderId="118" xfId="200" applyFont="1" applyFill="1" applyBorder="1" applyAlignment="1" applyProtection="1">
      <alignment horizontal="center"/>
      <protection locked="0"/>
    </xf>
    <xf numFmtId="0" fontId="27" fillId="4" borderId="0" xfId="198" applyFont="1" applyFill="1" applyBorder="1" applyAlignment="1" applyProtection="1">
      <alignment horizontal="center" vertical="center"/>
      <protection hidden="1"/>
    </xf>
    <xf numFmtId="0" fontId="20" fillId="0" borderId="0" xfId="198" applyFont="1" applyProtection="1">
      <protection hidden="1"/>
    </xf>
    <xf numFmtId="0" fontId="59" fillId="4" borderId="0" xfId="198" applyFont="1" applyFill="1" applyBorder="1" applyAlignment="1" applyProtection="1">
      <protection hidden="1"/>
    </xf>
    <xf numFmtId="0" fontId="9" fillId="0" borderId="124" xfId="198" applyFont="1" applyBorder="1" applyProtection="1">
      <protection hidden="1"/>
    </xf>
    <xf numFmtId="0" fontId="9" fillId="3" borderId="124" xfId="198" applyFont="1" applyFill="1" applyBorder="1" applyProtection="1">
      <protection hidden="1"/>
    </xf>
    <xf numFmtId="0" fontId="5" fillId="5" borderId="124" xfId="198" applyFont="1" applyFill="1" applyBorder="1" applyProtection="1">
      <protection locked="0"/>
    </xf>
    <xf numFmtId="0" fontId="4" fillId="3" borderId="0" xfId="2" applyFont="1" applyFill="1" applyAlignment="1" applyProtection="1">
      <alignment horizontal="center"/>
      <protection hidden="1"/>
    </xf>
    <xf numFmtId="0" fontId="8" fillId="3" borderId="0" xfId="198" applyFont="1" applyFill="1" applyProtection="1">
      <protection hidden="1"/>
    </xf>
    <xf numFmtId="0" fontId="47" fillId="0" borderId="0" xfId="198" applyFont="1" applyAlignment="1" applyProtection="1">
      <alignment horizontal="right"/>
      <protection hidden="1"/>
    </xf>
    <xf numFmtId="0" fontId="5" fillId="3" borderId="0" xfId="7" applyFill="1"/>
    <xf numFmtId="0" fontId="5" fillId="3" borderId="0" xfId="7" applyFill="1" applyAlignment="1">
      <alignment horizontal="center"/>
    </xf>
    <xf numFmtId="1" fontId="5" fillId="3" borderId="0" xfId="7" applyNumberFormat="1" applyFill="1"/>
    <xf numFmtId="49" fontId="5" fillId="3" borderId="0" xfId="7" applyNumberFormat="1" applyFill="1"/>
    <xf numFmtId="0" fontId="1" fillId="3" borderId="0" xfId="2" applyFont="1" applyFill="1"/>
    <xf numFmtId="0" fontId="12" fillId="3" borderId="0" xfId="3" applyFill="1" applyAlignment="1" applyProtection="1">
      <alignment horizontal="center"/>
      <protection hidden="1"/>
    </xf>
    <xf numFmtId="0" fontId="123" fillId="3" borderId="0" xfId="198" applyFont="1" applyFill="1" applyProtection="1">
      <protection hidden="1"/>
    </xf>
    <xf numFmtId="0" fontId="91" fillId="3" borderId="0" xfId="2" applyFont="1" applyFill="1" applyAlignment="1" applyProtection="1">
      <alignment horizontal="center"/>
      <protection hidden="1"/>
    </xf>
    <xf numFmtId="0" fontId="125" fillId="3" borderId="127" xfId="7" applyFont="1" applyFill="1" applyBorder="1" applyAlignment="1">
      <alignment horizontal="center" vertical="center"/>
    </xf>
    <xf numFmtId="0" fontId="125" fillId="3" borderId="117" xfId="7" applyFont="1" applyFill="1" applyBorder="1" applyAlignment="1">
      <alignment horizontal="center" vertical="center"/>
    </xf>
    <xf numFmtId="0" fontId="125" fillId="3" borderId="127" xfId="7" applyFont="1" applyFill="1" applyBorder="1" applyAlignment="1">
      <alignment horizontal="center" vertical="center" wrapText="1"/>
    </xf>
    <xf numFmtId="49" fontId="117" fillId="3" borderId="120" xfId="7" applyNumberFormat="1" applyFont="1" applyFill="1" applyBorder="1" applyAlignment="1">
      <alignment horizontal="center" vertical="center"/>
    </xf>
    <xf numFmtId="49" fontId="127" fillId="3" borderId="127" xfId="2" applyNumberFormat="1" applyFont="1" applyFill="1" applyBorder="1" applyAlignment="1">
      <alignment horizontal="center" vertical="center" wrapText="1"/>
    </xf>
    <xf numFmtId="0" fontId="1" fillId="0" borderId="117" xfId="198" applyFont="1" applyBorder="1"/>
    <xf numFmtId="0" fontId="1" fillId="0" borderId="120" xfId="198" applyFont="1" applyBorder="1"/>
    <xf numFmtId="0" fontId="91" fillId="0" borderId="117" xfId="2" applyFont="1" applyBorder="1" applyProtection="1">
      <protection hidden="1"/>
    </xf>
    <xf numFmtId="0" fontId="8" fillId="0" borderId="117" xfId="2" applyFont="1" applyBorder="1" applyProtection="1">
      <protection hidden="1"/>
    </xf>
    <xf numFmtId="0" fontId="47" fillId="0" borderId="117" xfId="1" applyFont="1" applyBorder="1" applyAlignment="1" applyProtection="1">
      <alignment horizontal="right" vertical="top"/>
      <protection hidden="1"/>
    </xf>
    <xf numFmtId="0" fontId="1" fillId="0" borderId="120" xfId="2" applyFont="1" applyBorder="1" applyProtection="1">
      <protection hidden="1"/>
    </xf>
    <xf numFmtId="0" fontId="1" fillId="0" borderId="119" xfId="2" applyFont="1" applyBorder="1" applyProtection="1">
      <protection hidden="1"/>
    </xf>
    <xf numFmtId="0" fontId="118" fillId="0" borderId="117" xfId="2" applyFont="1" applyBorder="1" applyAlignment="1" applyProtection="1">
      <alignment horizontal="right"/>
      <protection hidden="1"/>
    </xf>
    <xf numFmtId="0" fontId="1" fillId="0" borderId="124" xfId="198" applyFont="1" applyBorder="1" applyProtection="1">
      <protection hidden="1"/>
    </xf>
    <xf numFmtId="166" fontId="119" fillId="0" borderId="124" xfId="1" applyNumberFormat="1" applyFont="1" applyBorder="1" applyAlignment="1" applyProtection="1">
      <alignment horizontal="center" wrapText="1"/>
      <protection hidden="1"/>
    </xf>
    <xf numFmtId="0" fontId="5" fillId="3" borderId="15" xfId="7" applyFill="1" applyBorder="1" applyAlignment="1">
      <alignment horizontal="center" vertical="center"/>
    </xf>
    <xf numFmtId="0" fontId="5" fillId="3" borderId="0" xfId="7" applyFill="1" applyAlignment="1">
      <alignment horizontal="center" vertical="center"/>
    </xf>
    <xf numFmtId="0" fontId="5" fillId="3" borderId="15" xfId="7" applyFill="1" applyBorder="1" applyAlignment="1">
      <alignment horizontal="center" vertical="center" wrapText="1"/>
    </xf>
    <xf numFmtId="49" fontId="5" fillId="3" borderId="21" xfId="7" applyNumberFormat="1" applyFill="1" applyBorder="1" applyAlignment="1">
      <alignment horizontal="center" vertical="center"/>
    </xf>
    <xf numFmtId="49" fontId="9" fillId="3" borderId="15" xfId="2" applyNumberFormat="1" applyFont="1" applyFill="1" applyBorder="1" applyAlignment="1">
      <alignment horizontal="center" vertical="center" wrapText="1"/>
    </xf>
    <xf numFmtId="0" fontId="91" fillId="0" borderId="123" xfId="2" applyFont="1" applyBorder="1" applyProtection="1">
      <protection hidden="1"/>
    </xf>
    <xf numFmtId="0" fontId="91" fillId="0" borderId="0" xfId="2" applyFont="1" applyProtection="1">
      <protection hidden="1"/>
    </xf>
    <xf numFmtId="0" fontId="1" fillId="5" borderId="0" xfId="2" applyFont="1" applyFill="1" applyProtection="1">
      <protection hidden="1"/>
    </xf>
    <xf numFmtId="0" fontId="1" fillId="0" borderId="21" xfId="2" applyFont="1" applyBorder="1"/>
    <xf numFmtId="0" fontId="1" fillId="0" borderId="123" xfId="2" applyFont="1" applyBorder="1"/>
    <xf numFmtId="0" fontId="1" fillId="0" borderId="21" xfId="198" applyFont="1" applyBorder="1"/>
    <xf numFmtId="0" fontId="26" fillId="0" borderId="15" xfId="1" applyFont="1" applyBorder="1" applyAlignment="1" applyProtection="1">
      <alignment horizontal="center"/>
      <protection hidden="1"/>
    </xf>
    <xf numFmtId="166" fontId="26" fillId="0" borderId="15" xfId="1" applyNumberFormat="1" applyFont="1" applyBorder="1" applyAlignment="1" applyProtection="1">
      <alignment horizontal="center" wrapText="1"/>
      <protection hidden="1"/>
    </xf>
    <xf numFmtId="0" fontId="5" fillId="3" borderId="81" xfId="7" applyFill="1" applyBorder="1" applyAlignment="1">
      <alignment horizontal="center" vertical="center"/>
    </xf>
    <xf numFmtId="0" fontId="5" fillId="3" borderId="17" xfId="7" applyFill="1" applyBorder="1" applyAlignment="1">
      <alignment horizontal="center" vertical="center"/>
    </xf>
    <xf numFmtId="49" fontId="5" fillId="3" borderId="20" xfId="7" applyNumberFormat="1" applyFill="1" applyBorder="1" applyAlignment="1">
      <alignment horizontal="center" vertical="center"/>
    </xf>
    <xf numFmtId="169" fontId="106" fillId="3" borderId="17" xfId="2" applyNumberFormat="1" applyFont="1" applyFill="1" applyBorder="1" applyAlignment="1">
      <alignment horizontal="center" vertical="center" wrapText="1"/>
    </xf>
    <xf numFmtId="169" fontId="106" fillId="3" borderId="81" xfId="2" applyNumberFormat="1" applyFont="1" applyFill="1" applyBorder="1" applyAlignment="1">
      <alignment horizontal="center" vertical="center" wrapText="1"/>
    </xf>
    <xf numFmtId="169" fontId="106" fillId="3" borderId="16" xfId="2" applyNumberFormat="1" applyFont="1" applyFill="1" applyBorder="1" applyAlignment="1">
      <alignment horizontal="center" vertical="center" wrapText="1"/>
    </xf>
    <xf numFmtId="49" fontId="9" fillId="3" borderId="81" xfId="2" applyNumberFormat="1" applyFont="1" applyFill="1" applyBorder="1" applyAlignment="1">
      <alignment horizontal="center" vertical="center" wrapText="1"/>
    </xf>
    <xf numFmtId="0" fontId="119" fillId="0" borderId="0" xfId="2" applyFont="1" applyAlignment="1" applyProtection="1">
      <alignment horizontal="left"/>
      <protection hidden="1"/>
    </xf>
    <xf numFmtId="0" fontId="118" fillId="0" borderId="0" xfId="2" applyFont="1" applyAlignment="1" applyProtection="1">
      <alignment horizontal="right"/>
      <protection hidden="1"/>
    </xf>
    <xf numFmtId="0" fontId="8" fillId="0" borderId="0" xfId="2" applyFont="1" applyProtection="1">
      <protection hidden="1"/>
    </xf>
    <xf numFmtId="0" fontId="26" fillId="0" borderId="81" xfId="1" applyFont="1" applyBorder="1" applyAlignment="1" applyProtection="1">
      <alignment horizontal="right"/>
      <protection hidden="1"/>
    </xf>
    <xf numFmtId="166" fontId="26" fillId="0" borderId="81" xfId="1" applyNumberFormat="1" applyFont="1" applyBorder="1" applyAlignment="1" applyProtection="1">
      <alignment horizontal="center"/>
      <protection hidden="1"/>
    </xf>
    <xf numFmtId="0" fontId="5" fillId="0" borderId="81" xfId="2" applyBorder="1" applyProtection="1">
      <protection locked="0"/>
    </xf>
    <xf numFmtId="0" fontId="5" fillId="3" borderId="81" xfId="2" applyFill="1" applyBorder="1" applyAlignment="1" applyProtection="1">
      <alignment horizontal="left" wrapText="1"/>
      <protection locked="0"/>
    </xf>
    <xf numFmtId="0" fontId="5" fillId="0" borderId="81" xfId="198" applyFont="1" applyBorder="1" applyAlignment="1" applyProtection="1">
      <alignment horizontal="center"/>
      <protection locked="0"/>
    </xf>
    <xf numFmtId="0" fontId="106" fillId="0" borderId="81" xfId="198" applyFont="1" applyBorder="1" applyAlignment="1" applyProtection="1">
      <alignment horizontal="center"/>
      <protection locked="0"/>
    </xf>
    <xf numFmtId="49" fontId="9" fillId="3" borderId="124" xfId="2" applyNumberFormat="1" applyFont="1" applyFill="1" applyBorder="1" applyAlignment="1" applyProtection="1">
      <alignment horizontal="center"/>
      <protection locked="0"/>
    </xf>
    <xf numFmtId="1" fontId="5" fillId="0" borderId="81" xfId="2" applyNumberFormat="1" applyBorder="1" applyAlignment="1" applyProtection="1">
      <alignment horizontal="center"/>
      <protection locked="0"/>
    </xf>
    <xf numFmtId="0" fontId="42" fillId="0" borderId="81" xfId="2" applyFont="1" applyBorder="1" applyAlignment="1" applyProtection="1">
      <alignment horizontal="center"/>
      <protection locked="0"/>
    </xf>
    <xf numFmtId="0" fontId="8" fillId="0" borderId="123" xfId="2" applyFont="1" applyBorder="1" applyProtection="1">
      <protection hidden="1"/>
    </xf>
    <xf numFmtId="0" fontId="5" fillId="0" borderId="0" xfId="2" applyAlignment="1" applyProtection="1">
      <alignment horizontal="right" wrapText="1"/>
      <protection hidden="1"/>
    </xf>
    <xf numFmtId="0" fontId="5" fillId="0" borderId="124" xfId="2" applyBorder="1" applyProtection="1">
      <protection locked="0"/>
    </xf>
    <xf numFmtId="0" fontId="5" fillId="3" borderId="124" xfId="2" applyFill="1" applyBorder="1" applyAlignment="1" applyProtection="1">
      <alignment horizontal="left" wrapText="1"/>
      <protection locked="0"/>
    </xf>
    <xf numFmtId="0" fontId="5" fillId="0" borderId="124" xfId="198" applyFont="1" applyBorder="1" applyAlignment="1" applyProtection="1">
      <alignment horizontal="center"/>
      <protection locked="0"/>
    </xf>
    <xf numFmtId="0" fontId="106" fillId="0" borderId="124" xfId="198" applyFont="1" applyBorder="1" applyAlignment="1" applyProtection="1">
      <alignment horizontal="center"/>
      <protection locked="0"/>
    </xf>
    <xf numFmtId="1" fontId="5" fillId="0" borderId="124" xfId="2" applyNumberFormat="1" applyBorder="1" applyAlignment="1" applyProtection="1">
      <alignment horizontal="center"/>
      <protection locked="0"/>
    </xf>
    <xf numFmtId="0" fontId="42" fillId="0" borderId="124" xfId="2" applyFont="1" applyBorder="1" applyAlignment="1" applyProtection="1">
      <alignment horizontal="center"/>
      <protection locked="0"/>
    </xf>
    <xf numFmtId="0" fontId="66" fillId="0" borderId="0" xfId="198" applyFont="1" applyAlignment="1">
      <alignment horizontal="center"/>
    </xf>
    <xf numFmtId="0" fontId="8" fillId="0" borderId="21" xfId="2" applyFont="1" applyBorder="1" applyProtection="1">
      <protection hidden="1"/>
    </xf>
    <xf numFmtId="0" fontId="1" fillId="0" borderId="123" xfId="2" applyFont="1" applyBorder="1" applyProtection="1">
      <protection hidden="1"/>
    </xf>
    <xf numFmtId="0" fontId="66" fillId="0" borderId="0" xfId="2" applyFont="1" applyAlignment="1" applyProtection="1">
      <alignment horizontal="center"/>
      <protection hidden="1"/>
    </xf>
    <xf numFmtId="0" fontId="5" fillId="0" borderId="124" xfId="198" applyFont="1" applyBorder="1" applyProtection="1">
      <protection locked="0"/>
    </xf>
    <xf numFmtId="1" fontId="5" fillId="3" borderId="124" xfId="2" applyNumberFormat="1" applyFill="1" applyBorder="1" applyAlignment="1" applyProtection="1">
      <alignment horizontal="center" wrapText="1"/>
      <protection locked="0"/>
    </xf>
    <xf numFmtId="1" fontId="42" fillId="3" borderId="124" xfId="2" applyNumberFormat="1" applyFont="1" applyFill="1" applyBorder="1" applyAlignment="1" applyProtection="1">
      <alignment horizontal="center" wrapText="1"/>
      <protection locked="0"/>
    </xf>
    <xf numFmtId="0" fontId="5" fillId="5" borderId="0" xfId="2" applyFill="1" applyProtection="1">
      <protection locked="0"/>
    </xf>
    <xf numFmtId="0" fontId="5" fillId="0" borderId="124" xfId="2" applyBorder="1" applyAlignment="1" applyProtection="1">
      <alignment horizontal="center"/>
      <protection locked="0"/>
    </xf>
    <xf numFmtId="0" fontId="106" fillId="0" borderId="124" xfId="2" applyFont="1" applyBorder="1" applyAlignment="1" applyProtection="1">
      <alignment horizontal="center"/>
      <protection locked="0"/>
    </xf>
    <xf numFmtId="49" fontId="9" fillId="0" borderId="124" xfId="2" applyNumberFormat="1" applyFont="1" applyBorder="1" applyAlignment="1" applyProtection="1">
      <alignment horizontal="center"/>
      <protection locked="0"/>
    </xf>
    <xf numFmtId="0" fontId="5" fillId="3" borderId="124" xfId="7" applyFill="1" applyBorder="1" applyProtection="1">
      <protection locked="0"/>
    </xf>
    <xf numFmtId="0" fontId="5" fillId="3" borderId="124" xfId="2" applyFill="1" applyBorder="1" applyAlignment="1" applyProtection="1">
      <alignment horizontal="center" wrapText="1"/>
      <protection locked="0"/>
    </xf>
    <xf numFmtId="0" fontId="5" fillId="5" borderId="0" xfId="198" applyFont="1" applyFill="1" applyProtection="1">
      <protection locked="0"/>
    </xf>
    <xf numFmtId="0" fontId="42" fillId="0" borderId="0" xfId="1" applyFont="1" applyAlignment="1" applyProtection="1">
      <alignment horizontal="left"/>
      <protection hidden="1"/>
    </xf>
    <xf numFmtId="0" fontId="5" fillId="3" borderId="124" xfId="2" applyFill="1" applyBorder="1" applyAlignment="1">
      <alignment horizontal="center"/>
    </xf>
    <xf numFmtId="0" fontId="5" fillId="0" borderId="124" xfId="2" applyBorder="1"/>
    <xf numFmtId="0" fontId="5" fillId="3" borderId="0" xfId="198" applyFont="1" applyFill="1" applyAlignment="1" applyProtection="1">
      <alignment horizontal="left" vertical="top" wrapText="1"/>
      <protection hidden="1"/>
    </xf>
    <xf numFmtId="0" fontId="5" fillId="5" borderId="0" xfId="2" applyFill="1" applyAlignment="1" applyProtection="1">
      <alignment horizontal="center"/>
      <protection locked="0"/>
    </xf>
    <xf numFmtId="0" fontId="5" fillId="0" borderId="115" xfId="2" applyBorder="1" applyProtection="1">
      <protection locked="0"/>
    </xf>
    <xf numFmtId="0" fontId="119" fillId="0" borderId="0" xfId="2" applyFont="1" applyBorder="1" applyAlignment="1" applyProtection="1">
      <alignment horizontal="left"/>
      <protection hidden="1"/>
    </xf>
    <xf numFmtId="43" fontId="5" fillId="5" borderId="0" xfId="197" applyFont="1" applyFill="1" applyBorder="1" applyProtection="1">
      <protection locked="0"/>
    </xf>
    <xf numFmtId="0" fontId="1" fillId="0" borderId="123" xfId="198" applyFont="1" applyBorder="1"/>
    <xf numFmtId="0" fontId="5" fillId="0" borderId="124" xfId="7" applyBorder="1" applyProtection="1">
      <protection locked="0"/>
    </xf>
    <xf numFmtId="0" fontId="125" fillId="0" borderId="0" xfId="2" applyFont="1"/>
    <xf numFmtId="0" fontId="5" fillId="5" borderId="0" xfId="198" applyFont="1" applyFill="1" applyAlignment="1" applyProtection="1">
      <alignment horizontal="right"/>
      <protection locked="0"/>
    </xf>
    <xf numFmtId="164" fontId="5" fillId="5" borderId="0" xfId="198" applyNumberFormat="1" applyFont="1" applyFill="1" applyProtection="1">
      <protection locked="0"/>
    </xf>
    <xf numFmtId="1" fontId="5" fillId="5" borderId="0" xfId="198" applyNumberFormat="1" applyFont="1" applyFill="1" applyProtection="1">
      <protection locked="0"/>
    </xf>
    <xf numFmtId="1" fontId="5" fillId="5" borderId="0" xfId="2" applyNumberFormat="1" applyFill="1" applyProtection="1">
      <protection locked="0"/>
    </xf>
    <xf numFmtId="49" fontId="9" fillId="0" borderId="124" xfId="2" applyNumberFormat="1" applyFont="1" applyBorder="1" applyAlignment="1" applyProtection="1">
      <alignment horizontal="center" wrapText="1"/>
      <protection locked="0"/>
    </xf>
    <xf numFmtId="164" fontId="5" fillId="3" borderId="124" xfId="2" applyNumberFormat="1" applyFill="1" applyBorder="1" applyAlignment="1" applyProtection="1">
      <alignment horizontal="center"/>
      <protection hidden="1"/>
    </xf>
    <xf numFmtId="49" fontId="5" fillId="5" borderId="124" xfId="198" applyNumberFormat="1" applyFont="1" applyFill="1" applyBorder="1" applyAlignment="1" applyProtection="1">
      <alignment horizontal="center"/>
      <protection locked="0"/>
    </xf>
    <xf numFmtId="0" fontId="1" fillId="0" borderId="21" xfId="2" applyFont="1" applyBorder="1" applyProtection="1">
      <protection hidden="1"/>
    </xf>
    <xf numFmtId="0" fontId="1" fillId="0" borderId="0" xfId="2" applyFont="1" applyAlignment="1" applyProtection="1">
      <alignment vertical="top" wrapText="1"/>
      <protection hidden="1"/>
    </xf>
    <xf numFmtId="0" fontId="1" fillId="0" borderId="21" xfId="2" applyFont="1" applyBorder="1" applyAlignment="1" applyProtection="1">
      <alignment vertical="top" wrapText="1"/>
      <protection hidden="1"/>
    </xf>
    <xf numFmtId="0" fontId="1" fillId="0" borderId="16" xfId="2" applyFont="1" applyBorder="1"/>
    <xf numFmtId="0" fontId="1" fillId="0" borderId="21" xfId="198" applyFont="1" applyBorder="1" applyProtection="1">
      <protection hidden="1"/>
    </xf>
    <xf numFmtId="0" fontId="1" fillId="14" borderId="0" xfId="198" applyFont="1" applyFill="1"/>
    <xf numFmtId="0" fontId="1" fillId="0" borderId="123" xfId="198" applyFont="1" applyBorder="1" applyProtection="1">
      <protection hidden="1"/>
    </xf>
    <xf numFmtId="0" fontId="66" fillId="0" borderId="0" xfId="198" applyFont="1" applyAlignment="1" applyProtection="1">
      <alignment horizontal="center"/>
      <protection hidden="1"/>
    </xf>
    <xf numFmtId="0" fontId="9" fillId="0" borderId="123" xfId="198" applyFont="1" applyBorder="1" applyProtection="1">
      <protection hidden="1"/>
    </xf>
    <xf numFmtId="0" fontId="5" fillId="0" borderId="124" xfId="7" applyBorder="1" applyAlignment="1" applyProtection="1">
      <alignment horizontal="left"/>
      <protection locked="0"/>
    </xf>
    <xf numFmtId="0" fontId="106" fillId="0" borderId="124" xfId="201" applyFont="1" applyBorder="1" applyAlignment="1" applyProtection="1">
      <alignment horizontal="center" vertical="center"/>
      <protection locked="0"/>
    </xf>
    <xf numFmtId="164" fontId="5" fillId="5" borderId="0" xfId="2" applyNumberFormat="1" applyFill="1" applyProtection="1">
      <protection locked="0"/>
    </xf>
    <xf numFmtId="0" fontId="5" fillId="5" borderId="0" xfId="1" applyFont="1" applyFill="1" applyProtection="1">
      <protection locked="0"/>
    </xf>
    <xf numFmtId="0" fontId="5" fillId="0" borderId="17" xfId="2" applyBorder="1" applyAlignment="1" applyProtection="1">
      <alignment vertical="top"/>
      <protection hidden="1"/>
    </xf>
    <xf numFmtId="0" fontId="73" fillId="0" borderId="17" xfId="2" applyFont="1" applyBorder="1" applyAlignment="1" applyProtection="1">
      <alignment horizontal="center"/>
      <protection hidden="1"/>
    </xf>
    <xf numFmtId="0" fontId="72" fillId="0" borderId="17" xfId="2" applyFont="1" applyBorder="1" applyAlignment="1" applyProtection="1">
      <alignment horizontal="center"/>
      <protection hidden="1"/>
    </xf>
    <xf numFmtId="0" fontId="118" fillId="0" borderId="17" xfId="2" applyFont="1" applyBorder="1" applyAlignment="1" applyProtection="1">
      <alignment horizontal="right"/>
      <protection hidden="1"/>
    </xf>
    <xf numFmtId="0" fontId="118" fillId="0" borderId="20" xfId="2" applyFont="1" applyBorder="1" applyAlignment="1" applyProtection="1">
      <alignment horizontal="right"/>
      <protection hidden="1"/>
    </xf>
    <xf numFmtId="0" fontId="21" fillId="3" borderId="0" xfId="198" applyFont="1" applyFill="1"/>
    <xf numFmtId="0" fontId="5" fillId="3" borderId="0" xfId="198" applyFont="1" applyFill="1"/>
    <xf numFmtId="0" fontId="5" fillId="0" borderId="0" xfId="7" applyProtection="1">
      <protection locked="0"/>
    </xf>
    <xf numFmtId="0" fontId="5" fillId="0" borderId="0" xfId="7" applyAlignment="1" applyProtection="1">
      <alignment horizontal="center"/>
      <protection locked="0"/>
    </xf>
    <xf numFmtId="169" fontId="5" fillId="0" borderId="0" xfId="7" applyNumberFormat="1" applyProtection="1">
      <protection locked="0"/>
    </xf>
    <xf numFmtId="1" fontId="5" fillId="0" borderId="0" xfId="7" applyNumberFormat="1" applyProtection="1">
      <protection locked="0"/>
    </xf>
    <xf numFmtId="49" fontId="5" fillId="0" borderId="0" xfId="7" applyNumberFormat="1" applyProtection="1">
      <protection locked="0"/>
    </xf>
    <xf numFmtId="1" fontId="44" fillId="0" borderId="5" xfId="2" applyNumberFormat="1" applyFont="1" applyFill="1" applyBorder="1" applyAlignment="1" applyProtection="1">
      <alignment horizontal="left"/>
      <protection hidden="1"/>
    </xf>
    <xf numFmtId="1" fontId="44" fillId="0" borderId="6" xfId="2" applyNumberFormat="1" applyFont="1" applyFill="1" applyBorder="1" applyAlignment="1" applyProtection="1">
      <alignment horizontal="left"/>
      <protection hidden="1"/>
    </xf>
    <xf numFmtId="1" fontId="44" fillId="0" borderId="9" xfId="2" applyNumberFormat="1" applyFont="1" applyFill="1" applyBorder="1" applyAlignment="1" applyProtection="1">
      <alignment horizontal="left"/>
      <protection hidden="1"/>
    </xf>
    <xf numFmtId="0" fontId="47" fillId="0" borderId="11" xfId="1" applyFont="1" applyBorder="1" applyProtection="1">
      <protection hidden="1"/>
    </xf>
    <xf numFmtId="0" fontId="5" fillId="0" borderId="11" xfId="1" applyFont="1" applyBorder="1" applyProtection="1">
      <protection hidden="1"/>
    </xf>
    <xf numFmtId="0" fontId="47" fillId="0" borderId="150" xfId="1" applyFont="1" applyBorder="1" applyProtection="1">
      <protection hidden="1"/>
    </xf>
    <xf numFmtId="0" fontId="47" fillId="0" borderId="84" xfId="1" applyFont="1" applyBorder="1" applyProtection="1">
      <protection hidden="1"/>
    </xf>
    <xf numFmtId="0" fontId="5" fillId="0" borderId="150" xfId="1" applyFont="1" applyBorder="1" applyProtection="1">
      <protection hidden="1"/>
    </xf>
    <xf numFmtId="0" fontId="5" fillId="0" borderId="84" xfId="1" applyFont="1" applyBorder="1" applyProtection="1">
      <protection hidden="1"/>
    </xf>
    <xf numFmtId="0" fontId="5" fillId="0" borderId="151" xfId="1" applyFont="1" applyBorder="1" applyProtection="1">
      <protection hidden="1"/>
    </xf>
    <xf numFmtId="0" fontId="5" fillId="0" borderId="112" xfId="1" applyFont="1" applyBorder="1" applyProtection="1">
      <protection hidden="1"/>
    </xf>
    <xf numFmtId="0" fontId="99" fillId="4" borderId="0" xfId="198" applyFont="1" applyFill="1" applyAlignment="1" applyProtection="1">
      <alignment horizontal="left"/>
      <protection hidden="1"/>
    </xf>
    <xf numFmtId="0" fontId="5" fillId="0" borderId="10" xfId="1" applyFont="1" applyBorder="1" applyAlignment="1" applyProtection="1">
      <protection hidden="1"/>
    </xf>
    <xf numFmtId="0" fontId="100" fillId="2" borderId="0" xfId="198" applyFont="1" applyFill="1" applyAlignment="1" applyProtection="1">
      <protection hidden="1"/>
    </xf>
    <xf numFmtId="0" fontId="5" fillId="0" borderId="0" xfId="198" applyFont="1" applyBorder="1" applyProtection="1">
      <protection hidden="1"/>
    </xf>
    <xf numFmtId="0" fontId="144" fillId="0" borderId="0" xfId="202"/>
    <xf numFmtId="0" fontId="102" fillId="3" borderId="0" xfId="198" applyFont="1" applyFill="1" applyAlignment="1" applyProtection="1">
      <alignment vertical="top" textRotation="90"/>
      <protection hidden="1"/>
    </xf>
    <xf numFmtId="0" fontId="5" fillId="0" borderId="0" xfId="198" applyFont="1" applyProtection="1">
      <protection hidden="1"/>
    </xf>
    <xf numFmtId="0" fontId="5" fillId="0" borderId="123" xfId="198" applyFont="1" applyBorder="1" applyProtection="1">
      <protection hidden="1"/>
    </xf>
    <xf numFmtId="0" fontId="1" fillId="0" borderId="0" xfId="198" applyFont="1" applyProtection="1">
      <protection hidden="1"/>
    </xf>
    <xf numFmtId="0" fontId="5" fillId="0" borderId="118" xfId="2" applyBorder="1" applyAlignment="1" applyProtection="1">
      <alignment horizontal="left"/>
      <protection hidden="1"/>
    </xf>
    <xf numFmtId="0" fontId="102" fillId="3" borderId="0" xfId="198" applyFont="1" applyFill="1" applyAlignment="1" applyProtection="1">
      <alignment horizontal="right" vertical="top" textRotation="90"/>
      <protection hidden="1"/>
    </xf>
    <xf numFmtId="0" fontId="5" fillId="10" borderId="42" xfId="2" applyFont="1" applyFill="1" applyBorder="1" applyAlignment="1" applyProtection="1">
      <alignment horizontal="center"/>
      <protection hidden="1"/>
    </xf>
    <xf numFmtId="2" fontId="5" fillId="0" borderId="42" xfId="2" applyNumberFormat="1" applyBorder="1" applyAlignment="1" applyProtection="1">
      <alignment horizontal="center"/>
      <protection hidden="1"/>
    </xf>
    <xf numFmtId="0" fontId="75" fillId="2" borderId="0" xfId="198" applyFont="1" applyFill="1" applyAlignment="1" applyProtection="1">
      <protection hidden="1"/>
    </xf>
    <xf numFmtId="0" fontId="51" fillId="4" borderId="0" xfId="2" applyFont="1" applyFill="1" applyAlignment="1" applyProtection="1">
      <alignment vertical="top"/>
      <protection hidden="1"/>
    </xf>
    <xf numFmtId="0" fontId="21" fillId="3" borderId="0" xfId="2" applyFont="1" applyFill="1" applyAlignment="1" applyProtection="1">
      <alignment vertical="center"/>
      <protection hidden="1"/>
    </xf>
    <xf numFmtId="0" fontId="14" fillId="2" borderId="0" xfId="2" applyFont="1" applyFill="1" applyAlignment="1" applyProtection="1">
      <alignment vertical="top" wrapText="1"/>
      <protection hidden="1"/>
    </xf>
    <xf numFmtId="0" fontId="2" fillId="2" borderId="0" xfId="2" applyFont="1" applyFill="1" applyAlignment="1" applyProtection="1">
      <protection hidden="1"/>
    </xf>
    <xf numFmtId="0" fontId="44" fillId="4" borderId="0" xfId="202" applyFont="1" applyFill="1" applyProtection="1">
      <protection hidden="1"/>
    </xf>
    <xf numFmtId="0" fontId="144" fillId="4" borderId="0" xfId="202" applyFill="1" applyProtection="1">
      <protection hidden="1"/>
    </xf>
    <xf numFmtId="1" fontId="44" fillId="0" borderId="0" xfId="202" applyNumberFormat="1" applyFont="1" applyProtection="1">
      <protection hidden="1"/>
    </xf>
    <xf numFmtId="164" fontId="44" fillId="0" borderId="0" xfId="202" applyNumberFormat="1" applyFont="1" applyProtection="1">
      <protection hidden="1"/>
    </xf>
    <xf numFmtId="164" fontId="44" fillId="4" borderId="0" xfId="202" applyNumberFormat="1" applyFont="1" applyFill="1" applyProtection="1">
      <protection hidden="1"/>
    </xf>
    <xf numFmtId="1" fontId="44" fillId="4" borderId="0" xfId="202" applyNumberFormat="1" applyFont="1" applyFill="1" applyProtection="1">
      <protection hidden="1"/>
    </xf>
    <xf numFmtId="0" fontId="144" fillId="0" borderId="0" xfId="202" applyProtection="1">
      <protection hidden="1"/>
    </xf>
    <xf numFmtId="166" fontId="143" fillId="4" borderId="0" xfId="202" applyNumberFormat="1" applyFont="1" applyFill="1" applyProtection="1">
      <protection hidden="1"/>
    </xf>
    <xf numFmtId="166" fontId="144" fillId="4" borderId="0" xfId="202" applyNumberFormat="1" applyFill="1" applyProtection="1">
      <protection hidden="1"/>
    </xf>
    <xf numFmtId="0" fontId="143" fillId="4" borderId="0" xfId="202" applyFont="1" applyFill="1" applyProtection="1">
      <protection hidden="1"/>
    </xf>
    <xf numFmtId="0" fontId="143" fillId="0" borderId="0" xfId="202" applyFont="1" applyProtection="1">
      <protection hidden="1"/>
    </xf>
    <xf numFmtId="166" fontId="143" fillId="0" borderId="0" xfId="202" applyNumberFormat="1" applyFont="1" applyProtection="1">
      <protection hidden="1"/>
    </xf>
    <xf numFmtId="166" fontId="144" fillId="0" borderId="0" xfId="202" applyNumberFormat="1" applyProtection="1">
      <protection hidden="1"/>
    </xf>
    <xf numFmtId="1" fontId="143" fillId="0" borderId="0" xfId="0" applyNumberFormat="1" applyFont="1" applyProtection="1">
      <protection hidden="1"/>
    </xf>
    <xf numFmtId="166" fontId="143" fillId="0" borderId="0" xfId="0" applyNumberFormat="1" applyFont="1" applyProtection="1">
      <protection hidden="1"/>
    </xf>
    <xf numFmtId="0" fontId="143" fillId="0" borderId="0" xfId="0" applyFont="1" applyProtection="1">
      <protection hidden="1"/>
    </xf>
    <xf numFmtId="1" fontId="44" fillId="16" borderId="0" xfId="202" applyNumberFormat="1" applyFont="1" applyFill="1" applyProtection="1">
      <protection locked="0"/>
    </xf>
    <xf numFmtId="0" fontId="5" fillId="4" borderId="0" xfId="198" applyFont="1" applyFill="1" applyAlignment="1" applyProtection="1">
      <alignment vertical="top" wrapText="1"/>
      <protection hidden="1"/>
    </xf>
    <xf numFmtId="0" fontId="5" fillId="4" borderId="0" xfId="198" applyFont="1" applyFill="1" applyAlignment="1" applyProtection="1">
      <alignment horizontal="left" vertical="top" wrapText="1"/>
      <protection hidden="1"/>
    </xf>
    <xf numFmtId="0" fontId="5" fillId="0" borderId="0" xfId="2"/>
    <xf numFmtId="0" fontId="9" fillId="3" borderId="0" xfId="2" applyFont="1" applyFill="1" applyProtection="1">
      <protection hidden="1"/>
    </xf>
    <xf numFmtId="0" fontId="5" fillId="3" borderId="0" xfId="2" applyFill="1" applyProtection="1">
      <protection hidden="1"/>
    </xf>
    <xf numFmtId="2" fontId="4" fillId="3" borderId="0" xfId="1" applyNumberFormat="1" applyFont="1" applyFill="1" applyAlignment="1" applyProtection="1">
      <alignment vertical="top"/>
      <protection hidden="1"/>
    </xf>
    <xf numFmtId="2" fontId="4" fillId="3" borderId="0" xfId="1" applyNumberFormat="1" applyFont="1" applyFill="1" applyAlignment="1" applyProtection="1">
      <alignment vertical="center"/>
      <protection hidden="1"/>
    </xf>
    <xf numFmtId="2" fontId="10" fillId="3" borderId="0" xfId="1" applyNumberFormat="1" applyFont="1" applyFill="1" applyAlignment="1" applyProtection="1">
      <protection hidden="1"/>
    </xf>
    <xf numFmtId="2" fontId="10" fillId="3" borderId="0" xfId="1" applyNumberFormat="1" applyFont="1" applyFill="1" applyProtection="1">
      <protection hidden="1"/>
    </xf>
    <xf numFmtId="0" fontId="11" fillId="3" borderId="0" xfId="0" applyFont="1" applyFill="1" applyProtection="1">
      <protection hidden="1"/>
    </xf>
    <xf numFmtId="0" fontId="5" fillId="3" borderId="0" xfId="1" applyFont="1" applyFill="1" applyAlignment="1" applyProtection="1">
      <alignment vertical="center"/>
      <protection hidden="1"/>
    </xf>
    <xf numFmtId="0" fontId="5" fillId="3" borderId="0" xfId="1" applyFont="1" applyFill="1" applyAlignment="1" applyProtection="1">
      <alignment vertical="top"/>
      <protection hidden="1"/>
    </xf>
    <xf numFmtId="0" fontId="5" fillId="3" borderId="0" xfId="1" applyFont="1" applyFill="1" applyProtection="1">
      <protection hidden="1"/>
    </xf>
    <xf numFmtId="0" fontId="15" fillId="4" borderId="0" xfId="3" applyFont="1" applyFill="1" applyAlignment="1" applyProtection="1">
      <protection hidden="1"/>
    </xf>
    <xf numFmtId="0" fontId="8" fillId="3" borderId="0" xfId="2" applyFont="1" applyFill="1" applyProtection="1">
      <protection hidden="1"/>
    </xf>
    <xf numFmtId="0" fontId="5" fillId="3" borderId="0" xfId="0" applyFont="1" applyFill="1" applyAlignment="1" applyProtection="1">
      <alignment horizontal="right"/>
      <protection hidden="1"/>
    </xf>
    <xf numFmtId="0" fontId="5" fillId="3" borderId="0" xfId="4" applyFont="1" applyFill="1" applyAlignment="1" applyProtection="1">
      <alignment horizontal="right"/>
      <protection hidden="1"/>
    </xf>
    <xf numFmtId="0" fontId="19" fillId="5" borderId="0" xfId="2" applyFont="1" applyFill="1" applyAlignment="1" applyProtection="1">
      <alignment horizontal="right"/>
      <protection locked="0"/>
    </xf>
    <xf numFmtId="0" fontId="5" fillId="0" borderId="0" xfId="2" applyProtection="1">
      <protection hidden="1"/>
    </xf>
    <xf numFmtId="0" fontId="5" fillId="3" borderId="0" xfId="1" applyFont="1" applyFill="1" applyAlignment="1" applyProtection="1">
      <alignment horizontal="right"/>
      <protection hidden="1"/>
    </xf>
    <xf numFmtId="0" fontId="20" fillId="3" borderId="0" xfId="1" applyFont="1" applyFill="1" applyAlignment="1" applyProtection="1">
      <alignment horizontal="center"/>
      <protection hidden="1"/>
    </xf>
    <xf numFmtId="0" fontId="1" fillId="3" borderId="0" xfId="1" applyFill="1" applyProtection="1">
      <protection hidden="1"/>
    </xf>
    <xf numFmtId="0" fontId="5" fillId="2" borderId="0" xfId="2" applyFill="1" applyProtection="1">
      <protection hidden="1"/>
    </xf>
    <xf numFmtId="0" fontId="5" fillId="4" borderId="0" xfId="2" applyFill="1" applyProtection="1">
      <protection hidden="1"/>
    </xf>
    <xf numFmtId="49" fontId="16" fillId="0" borderId="0" xfId="1" applyNumberFormat="1" applyFont="1" applyProtection="1">
      <protection hidden="1"/>
    </xf>
    <xf numFmtId="0" fontId="16" fillId="0" borderId="0" xfId="1" applyFont="1" applyProtection="1">
      <protection hidden="1"/>
    </xf>
    <xf numFmtId="164" fontId="25" fillId="3" borderId="11" xfId="1" applyNumberFormat="1" applyFont="1" applyFill="1" applyBorder="1" applyAlignment="1" applyProtection="1">
      <alignment horizontal="right"/>
      <protection hidden="1"/>
    </xf>
    <xf numFmtId="164" fontId="27" fillId="3" borderId="0" xfId="2" applyNumberFormat="1" applyFont="1" applyFill="1" applyBorder="1" applyAlignment="1" applyProtection="1">
      <alignment horizontal="right"/>
      <protection hidden="1"/>
    </xf>
    <xf numFmtId="164" fontId="25" fillId="3" borderId="11" xfId="1" applyNumberFormat="1" applyFont="1" applyFill="1" applyBorder="1" applyProtection="1">
      <protection hidden="1"/>
    </xf>
    <xf numFmtId="2" fontId="32" fillId="3" borderId="30" xfId="2" applyNumberFormat="1" applyFont="1" applyFill="1" applyBorder="1" applyProtection="1">
      <protection hidden="1"/>
    </xf>
    <xf numFmtId="1" fontId="5" fillId="3" borderId="31" xfId="0" applyNumberFormat="1" applyFont="1" applyFill="1" applyBorder="1" applyProtection="1">
      <protection hidden="1"/>
    </xf>
    <xf numFmtId="1" fontId="5" fillId="3" borderId="32" xfId="2" applyNumberFormat="1" applyFill="1" applyBorder="1" applyProtection="1">
      <protection hidden="1"/>
    </xf>
    <xf numFmtId="1" fontId="5" fillId="3" borderId="0" xfId="0" applyNumberFormat="1" applyFont="1" applyFill="1" applyBorder="1" applyProtection="1">
      <protection hidden="1"/>
    </xf>
    <xf numFmtId="1" fontId="5" fillId="3" borderId="0" xfId="2" applyNumberFormat="1" applyFill="1" applyBorder="1" applyProtection="1">
      <protection hidden="1"/>
    </xf>
    <xf numFmtId="1" fontId="5" fillId="3" borderId="21" xfId="2" applyNumberFormat="1" applyFill="1" applyBorder="1" applyAlignment="1" applyProtection="1">
      <alignment horizontal="left"/>
      <protection hidden="1"/>
    </xf>
    <xf numFmtId="0" fontId="15" fillId="4" borderId="0" xfId="3" applyFont="1" applyFill="1" applyAlignment="1" applyProtection="1">
      <alignment horizontal="right"/>
      <protection hidden="1"/>
    </xf>
    <xf numFmtId="1" fontId="26" fillId="3" borderId="36" xfId="0" applyNumberFormat="1" applyFont="1" applyFill="1" applyBorder="1" applyProtection="1">
      <protection hidden="1"/>
    </xf>
    <xf numFmtId="1" fontId="26" fillId="3" borderId="37" xfId="2" applyNumberFormat="1" applyFont="1" applyFill="1" applyBorder="1" applyProtection="1">
      <protection hidden="1"/>
    </xf>
    <xf numFmtId="1" fontId="26" fillId="3" borderId="35" xfId="0" applyNumberFormat="1" applyFont="1" applyFill="1" applyBorder="1" applyProtection="1">
      <protection hidden="1"/>
    </xf>
    <xf numFmtId="1" fontId="26" fillId="3" borderId="35" xfId="2" applyNumberFormat="1" applyFont="1" applyFill="1" applyBorder="1" applyProtection="1">
      <protection hidden="1"/>
    </xf>
    <xf numFmtId="1" fontId="5" fillId="3" borderId="38" xfId="0" applyNumberFormat="1" applyFont="1" applyFill="1" applyBorder="1" applyProtection="1">
      <protection hidden="1"/>
    </xf>
    <xf numFmtId="164" fontId="5" fillId="3" borderId="31" xfId="0" applyNumberFormat="1" applyFont="1" applyFill="1" applyBorder="1" applyProtection="1">
      <protection hidden="1"/>
    </xf>
    <xf numFmtId="164" fontId="5" fillId="3" borderId="32" xfId="4" applyNumberFormat="1" applyFont="1" applyFill="1" applyBorder="1" applyAlignment="1" applyProtection="1">
      <alignment horizontal="left"/>
      <protection hidden="1"/>
    </xf>
    <xf numFmtId="164" fontId="5" fillId="3" borderId="0" xfId="0" applyNumberFormat="1" applyFont="1" applyFill="1" applyBorder="1" applyProtection="1">
      <protection hidden="1"/>
    </xf>
    <xf numFmtId="164" fontId="5" fillId="3" borderId="0" xfId="4" applyNumberFormat="1" applyFont="1" applyFill="1" applyBorder="1" applyAlignment="1" applyProtection="1">
      <alignment horizontal="left"/>
      <protection hidden="1"/>
    </xf>
    <xf numFmtId="1" fontId="5" fillId="3" borderId="21" xfId="4" applyNumberFormat="1" applyFont="1" applyFill="1" applyBorder="1" applyAlignment="1" applyProtection="1">
      <alignment horizontal="left"/>
      <protection hidden="1"/>
    </xf>
    <xf numFmtId="0" fontId="5" fillId="0" borderId="0" xfId="1" applyFont="1" applyAlignment="1" applyProtection="1">
      <alignment horizontal="center"/>
      <protection hidden="1"/>
    </xf>
    <xf numFmtId="0" fontId="10" fillId="0" borderId="0" xfId="1" applyFont="1" applyProtection="1">
      <protection hidden="1"/>
    </xf>
    <xf numFmtId="0" fontId="5" fillId="0" borderId="0" xfId="1" applyFont="1" applyProtection="1">
      <protection hidden="1"/>
    </xf>
    <xf numFmtId="164" fontId="5" fillId="3" borderId="18" xfId="2" applyNumberFormat="1" applyFill="1" applyBorder="1" applyAlignment="1" applyProtection="1">
      <alignment horizontal="right"/>
      <protection hidden="1"/>
    </xf>
    <xf numFmtId="164" fontId="5" fillId="3" borderId="19" xfId="4" applyNumberFormat="1" applyFont="1" applyFill="1" applyBorder="1" applyAlignment="1" applyProtection="1">
      <alignment horizontal="center"/>
      <protection hidden="1"/>
    </xf>
    <xf numFmtId="164" fontId="5" fillId="3" borderId="17" xfId="2" applyNumberFormat="1" applyFill="1" applyBorder="1" applyAlignment="1" applyProtection="1">
      <alignment horizontal="right"/>
      <protection hidden="1"/>
    </xf>
    <xf numFmtId="164" fontId="5" fillId="3" borderId="17" xfId="4" applyNumberFormat="1" applyFont="1" applyFill="1" applyBorder="1" applyAlignment="1" applyProtection="1">
      <alignment horizontal="center"/>
      <protection hidden="1"/>
    </xf>
    <xf numFmtId="0" fontId="5" fillId="3" borderId="20" xfId="0" applyFont="1" applyFill="1" applyBorder="1" applyProtection="1">
      <protection hidden="1"/>
    </xf>
    <xf numFmtId="164" fontId="5" fillId="0" borderId="0" xfId="1" applyNumberFormat="1" applyFont="1" applyProtection="1">
      <protection hidden="1"/>
    </xf>
    <xf numFmtId="49" fontId="16" fillId="0" borderId="0" xfId="1" applyNumberFormat="1" applyFont="1" applyAlignment="1" applyProtection="1">
      <alignment vertical="center"/>
      <protection hidden="1"/>
    </xf>
    <xf numFmtId="2" fontId="5" fillId="3" borderId="0" xfId="2" applyNumberFormat="1" applyFill="1" applyBorder="1" applyAlignment="1" applyProtection="1">
      <alignment horizontal="right"/>
      <protection hidden="1"/>
    </xf>
    <xf numFmtId="0" fontId="42" fillId="3" borderId="0" xfId="2" applyFont="1" applyFill="1" applyBorder="1" applyAlignment="1" applyProtection="1">
      <alignment horizontal="left"/>
      <protection hidden="1"/>
    </xf>
    <xf numFmtId="0" fontId="23" fillId="3" borderId="0" xfId="0" applyFont="1" applyFill="1" applyBorder="1" applyAlignment="1" applyProtection="1">
      <alignment horizontal="right"/>
      <protection hidden="1"/>
    </xf>
    <xf numFmtId="164" fontId="5" fillId="3" borderId="0" xfId="2" applyNumberFormat="1" applyFill="1" applyBorder="1" applyAlignment="1" applyProtection="1">
      <alignment horizontal="right"/>
      <protection hidden="1"/>
    </xf>
    <xf numFmtId="164" fontId="5" fillId="3" borderId="0" xfId="4" applyNumberFormat="1" applyFont="1" applyFill="1" applyBorder="1" applyAlignment="1" applyProtection="1">
      <alignment horizontal="center"/>
      <protection hidden="1"/>
    </xf>
    <xf numFmtId="0" fontId="5" fillId="3" borderId="0" xfId="0" applyFont="1" applyFill="1" applyBorder="1" applyProtection="1">
      <protection hidden="1"/>
    </xf>
    <xf numFmtId="2" fontId="5" fillId="3" borderId="0" xfId="2" applyNumberFormat="1" applyFill="1" applyAlignment="1" applyProtection="1">
      <alignment horizontal="right"/>
      <protection hidden="1"/>
    </xf>
    <xf numFmtId="0" fontId="42" fillId="3" borderId="0" xfId="2" applyFont="1" applyFill="1" applyAlignment="1" applyProtection="1">
      <alignment horizontal="left"/>
      <protection hidden="1"/>
    </xf>
    <xf numFmtId="2" fontId="5" fillId="3" borderId="0" xfId="1" applyNumberFormat="1" applyFont="1" applyFill="1" applyProtection="1">
      <protection hidden="1"/>
    </xf>
    <xf numFmtId="49" fontId="8" fillId="0" borderId="0" xfId="1" applyNumberFormat="1" applyFont="1" applyProtection="1">
      <protection hidden="1"/>
    </xf>
    <xf numFmtId="0" fontId="5" fillId="3" borderId="124" xfId="2" applyFill="1" applyBorder="1" applyAlignment="1" applyProtection="1">
      <alignment horizontal="center"/>
      <protection hidden="1"/>
    </xf>
    <xf numFmtId="2" fontId="5" fillId="0" borderId="124" xfId="2" applyNumberFormat="1" applyBorder="1" applyAlignment="1" applyProtection="1">
      <alignment horizontal="center"/>
      <protection hidden="1"/>
    </xf>
    <xf numFmtId="0" fontId="5" fillId="0" borderId="124" xfId="2" applyBorder="1" applyAlignment="1" applyProtection="1">
      <alignment horizontal="center"/>
      <protection hidden="1"/>
    </xf>
    <xf numFmtId="1" fontId="5" fillId="3" borderId="124" xfId="2" applyNumberFormat="1" applyFill="1" applyBorder="1" applyAlignment="1" applyProtection="1">
      <alignment horizontal="center"/>
      <protection hidden="1"/>
    </xf>
    <xf numFmtId="0" fontId="5" fillId="5" borderId="124" xfId="2" applyFill="1" applyBorder="1" applyAlignment="1" applyProtection="1">
      <alignment horizontal="center"/>
      <protection locked="0"/>
    </xf>
    <xf numFmtId="166" fontId="5" fillId="0" borderId="124" xfId="2" applyNumberFormat="1" applyBorder="1" applyAlignment="1" applyProtection="1">
      <alignment horizontal="center"/>
      <protection hidden="1"/>
    </xf>
    <xf numFmtId="0" fontId="1" fillId="0" borderId="0" xfId="0" applyFont="1" applyProtection="1">
      <protection hidden="1"/>
    </xf>
    <xf numFmtId="0" fontId="1" fillId="0" borderId="0" xfId="1" applyProtection="1">
      <protection hidden="1"/>
    </xf>
    <xf numFmtId="1" fontId="5" fillId="0" borderId="0" xfId="1" applyNumberFormat="1" applyFont="1" applyProtection="1">
      <protection hidden="1"/>
    </xf>
    <xf numFmtId="165" fontId="9" fillId="0" borderId="123" xfId="2" applyNumberFormat="1" applyFont="1" applyBorder="1" applyAlignment="1" applyProtection="1">
      <alignment horizontal="left"/>
      <protection hidden="1"/>
    </xf>
    <xf numFmtId="0" fontId="1" fillId="4" borderId="0" xfId="0" applyFont="1" applyFill="1" applyProtection="1">
      <protection hidden="1"/>
    </xf>
    <xf numFmtId="2" fontId="10" fillId="2" borderId="0" xfId="1" applyNumberFormat="1" applyFont="1" applyFill="1" applyProtection="1">
      <protection hidden="1"/>
    </xf>
    <xf numFmtId="2" fontId="5" fillId="0" borderId="0" xfId="1" applyNumberFormat="1" applyFont="1" applyProtection="1">
      <protection hidden="1"/>
    </xf>
    <xf numFmtId="0" fontId="5" fillId="5" borderId="0" xfId="2" applyFill="1" applyBorder="1" applyProtection="1">
      <protection locked="0"/>
    </xf>
    <xf numFmtId="164" fontId="5" fillId="0" borderId="0" xfId="1" applyNumberFormat="1" applyFont="1" applyBorder="1" applyProtection="1">
      <protection hidden="1"/>
    </xf>
    <xf numFmtId="0" fontId="5" fillId="0" borderId="0" xfId="1" applyFont="1" applyBorder="1" applyProtection="1">
      <protection hidden="1"/>
    </xf>
    <xf numFmtId="0" fontId="5" fillId="5" borderId="39" xfId="1" applyFont="1" applyFill="1" applyBorder="1" applyProtection="1">
      <protection locked="0"/>
    </xf>
    <xf numFmtId="0" fontId="1" fillId="0" borderId="0" xfId="1" applyFill="1" applyProtection="1">
      <protection hidden="1"/>
    </xf>
    <xf numFmtId="0" fontId="39" fillId="0" borderId="0" xfId="2" applyFont="1" applyFill="1" applyAlignment="1" applyProtection="1">
      <alignment horizontal="left"/>
      <protection hidden="1"/>
    </xf>
    <xf numFmtId="0" fontId="5" fillId="0" borderId="0" xfId="2" applyFill="1" applyProtection="1">
      <protection hidden="1"/>
    </xf>
    <xf numFmtId="0" fontId="44" fillId="14" borderId="61" xfId="2" applyFont="1" applyFill="1" applyBorder="1" applyProtection="1">
      <protection hidden="1"/>
    </xf>
    <xf numFmtId="0" fontId="9" fillId="0" borderId="0" xfId="2" applyFont="1" applyFill="1" applyAlignment="1" applyProtection="1">
      <alignment horizontal="left"/>
      <protection hidden="1"/>
    </xf>
    <xf numFmtId="1" fontId="9" fillId="0" borderId="0" xfId="2" applyNumberFormat="1" applyFont="1" applyFill="1" applyBorder="1" applyAlignment="1" applyProtection="1">
      <alignment horizontal="left"/>
      <protection hidden="1"/>
    </xf>
    <xf numFmtId="0" fontId="44" fillId="14" borderId="57" xfId="2" applyFont="1" applyFill="1" applyBorder="1" applyProtection="1">
      <protection hidden="1"/>
    </xf>
    <xf numFmtId="1" fontId="44" fillId="14" borderId="122" xfId="2" applyNumberFormat="1" applyFont="1" applyFill="1" applyBorder="1" applyAlignment="1" applyProtection="1">
      <alignment horizontal="left"/>
      <protection hidden="1"/>
    </xf>
    <xf numFmtId="0" fontId="65" fillId="0" borderId="0" xfId="2" applyFont="1" applyProtection="1">
      <protection hidden="1"/>
    </xf>
    <xf numFmtId="0" fontId="5" fillId="14" borderId="39" xfId="2" applyFill="1" applyBorder="1" applyProtection="1">
      <protection hidden="1"/>
    </xf>
    <xf numFmtId="0" fontId="9" fillId="0" borderId="0" xfId="1" applyFont="1" applyProtection="1">
      <protection hidden="1"/>
    </xf>
    <xf numFmtId="164" fontId="9" fillId="0" borderId="0" xfId="2" applyNumberFormat="1" applyFont="1" applyProtection="1">
      <protection hidden="1"/>
    </xf>
    <xf numFmtId="164" fontId="9" fillId="0" borderId="0" xfId="2" applyNumberFormat="1" applyFont="1" applyAlignment="1" applyProtection="1">
      <alignment horizontal="left"/>
      <protection hidden="1"/>
    </xf>
    <xf numFmtId="49" fontId="9" fillId="0" borderId="0" xfId="1" applyNumberFormat="1" applyFont="1" applyAlignment="1" applyProtection="1">
      <alignment vertical="center"/>
      <protection hidden="1"/>
    </xf>
    <xf numFmtId="164" fontId="5" fillId="0" borderId="0" xfId="2" applyNumberFormat="1" applyAlignment="1" applyProtection="1">
      <alignment horizontal="right"/>
      <protection hidden="1"/>
    </xf>
    <xf numFmtId="1" fontId="52" fillId="0" borderId="0" xfId="2" applyNumberFormat="1" applyFont="1" applyFill="1" applyBorder="1" applyAlignment="1" applyProtection="1">
      <alignment horizontal="left"/>
      <protection hidden="1"/>
    </xf>
    <xf numFmtId="0" fontId="5" fillId="0" borderId="0" xfId="2" applyFill="1" applyBorder="1" applyProtection="1">
      <protection hidden="1"/>
    </xf>
    <xf numFmtId="0" fontId="5" fillId="0" borderId="123" xfId="2" applyBorder="1" applyProtection="1">
      <protection hidden="1"/>
    </xf>
    <xf numFmtId="2" fontId="5" fillId="0" borderId="0" xfId="2" applyNumberFormat="1" applyProtection="1">
      <protection hidden="1"/>
    </xf>
    <xf numFmtId="0" fontId="9" fillId="0" borderId="0" xfId="2" applyFont="1" applyProtection="1">
      <protection hidden="1"/>
    </xf>
    <xf numFmtId="0" fontId="5" fillId="3" borderId="0" xfId="2" applyFont="1" applyFill="1" applyBorder="1" applyAlignment="1" applyProtection="1">
      <alignment vertical="top" wrapText="1"/>
      <protection hidden="1"/>
    </xf>
    <xf numFmtId="0" fontId="5" fillId="0" borderId="0" xfId="1" applyFont="1" applyAlignment="1" applyProtection="1">
      <alignment horizontal="right"/>
      <protection hidden="1"/>
    </xf>
    <xf numFmtId="0" fontId="5" fillId="16" borderId="124" xfId="2" applyFont="1" applyFill="1" applyBorder="1" applyAlignment="1" applyProtection="1">
      <alignment horizontal="center"/>
      <protection locked="0"/>
    </xf>
    <xf numFmtId="0" fontId="5" fillId="16" borderId="124" xfId="2" applyNumberFormat="1" applyFont="1" applyFill="1" applyBorder="1" applyAlignment="1" applyProtection="1">
      <alignment horizontal="center"/>
      <protection locked="0"/>
    </xf>
    <xf numFmtId="0" fontId="5" fillId="3" borderId="0" xfId="2" applyFont="1" applyFill="1" applyProtection="1">
      <protection hidden="1"/>
    </xf>
    <xf numFmtId="0" fontId="24" fillId="0" borderId="0" xfId="2" applyFont="1" applyProtection="1">
      <protection hidden="1"/>
    </xf>
    <xf numFmtId="0" fontId="16" fillId="0" borderId="0" xfId="1" applyFont="1" applyAlignment="1" applyProtection="1">
      <alignment vertical="center"/>
      <protection hidden="1"/>
    </xf>
    <xf numFmtId="0" fontId="5" fillId="0" borderId="0" xfId="1" applyFont="1" applyAlignment="1" applyProtection="1">
      <alignment vertical="center"/>
      <protection hidden="1"/>
    </xf>
    <xf numFmtId="0" fontId="47" fillId="3" borderId="0" xfId="2" applyFont="1" applyFill="1" applyProtection="1">
      <protection hidden="1"/>
    </xf>
    <xf numFmtId="0" fontId="66" fillId="0" borderId="0" xfId="1" applyFont="1" applyProtection="1">
      <protection hidden="1"/>
    </xf>
    <xf numFmtId="0" fontId="1" fillId="4" borderId="0" xfId="6" applyFont="1" applyFill="1" applyProtection="1">
      <protection hidden="1"/>
    </xf>
    <xf numFmtId="0" fontId="1" fillId="4" borderId="0" xfId="6" applyFont="1" applyFill="1" applyBorder="1" applyProtection="1">
      <protection hidden="1"/>
    </xf>
    <xf numFmtId="0" fontId="21" fillId="3" borderId="0" xfId="2" applyFont="1" applyFill="1" applyBorder="1" applyAlignment="1" applyProtection="1">
      <alignment horizontal="center" wrapText="1"/>
      <protection hidden="1"/>
    </xf>
    <xf numFmtId="0" fontId="9" fillId="3" borderId="0" xfId="1" applyFont="1" applyFill="1" applyBorder="1" applyAlignment="1" applyProtection="1">
      <alignment horizontal="center" wrapText="1"/>
      <protection hidden="1"/>
    </xf>
    <xf numFmtId="0" fontId="31" fillId="3" borderId="0" xfId="2" applyFont="1" applyFill="1" applyBorder="1" applyAlignment="1" applyProtection="1">
      <alignment horizontal="center"/>
      <protection hidden="1"/>
    </xf>
    <xf numFmtId="0" fontId="14" fillId="3" borderId="0" xfId="4" applyFont="1" applyFill="1" applyBorder="1" applyProtection="1">
      <protection hidden="1"/>
    </xf>
    <xf numFmtId="1" fontId="5" fillId="3" borderId="0" xfId="2" applyNumberFormat="1" applyFill="1" applyBorder="1" applyAlignment="1" applyProtection="1">
      <alignment horizontal="left"/>
      <protection hidden="1"/>
    </xf>
    <xf numFmtId="1" fontId="5" fillId="3" borderId="0" xfId="4" applyNumberFormat="1" applyFont="1" applyFill="1" applyBorder="1" applyAlignment="1" applyProtection="1">
      <alignment horizontal="left"/>
      <protection hidden="1"/>
    </xf>
    <xf numFmtId="1" fontId="44" fillId="0" borderId="123" xfId="2" applyNumberFormat="1" applyFont="1" applyFill="1" applyBorder="1" applyAlignment="1" applyProtection="1">
      <alignment horizontal="left"/>
      <protection hidden="1"/>
    </xf>
    <xf numFmtId="1" fontId="44" fillId="0" borderId="80" xfId="2" applyNumberFormat="1" applyFont="1" applyFill="1" applyBorder="1" applyAlignment="1" applyProtection="1">
      <alignment horizontal="left"/>
      <protection hidden="1"/>
    </xf>
    <xf numFmtId="1" fontId="44" fillId="0" borderId="0" xfId="2" applyNumberFormat="1" applyFont="1" applyFill="1" applyBorder="1" applyAlignment="1" applyProtection="1">
      <alignment horizontal="left"/>
      <protection hidden="1"/>
    </xf>
    <xf numFmtId="1" fontId="44" fillId="0" borderId="21" xfId="2" applyNumberFormat="1" applyFont="1" applyFill="1" applyBorder="1" applyAlignment="1" applyProtection="1">
      <alignment horizontal="left"/>
      <protection hidden="1"/>
    </xf>
    <xf numFmtId="1" fontId="44" fillId="0" borderId="16" xfId="2" applyNumberFormat="1" applyFont="1" applyFill="1" applyBorder="1" applyAlignment="1" applyProtection="1">
      <alignment horizontal="left"/>
      <protection hidden="1"/>
    </xf>
    <xf numFmtId="1" fontId="44" fillId="0" borderId="17" xfId="2" applyNumberFormat="1" applyFont="1" applyFill="1" applyBorder="1" applyAlignment="1" applyProtection="1">
      <alignment horizontal="left"/>
      <protection hidden="1"/>
    </xf>
    <xf numFmtId="1" fontId="44" fillId="0" borderId="20" xfId="2" applyNumberFormat="1" applyFont="1" applyFill="1" applyBorder="1" applyAlignment="1" applyProtection="1">
      <alignment horizontal="left"/>
      <protection hidden="1"/>
    </xf>
    <xf numFmtId="0" fontId="5" fillId="3" borderId="17" xfId="1" applyFont="1" applyFill="1" applyBorder="1" applyAlignment="1" applyProtection="1">
      <protection hidden="1"/>
    </xf>
    <xf numFmtId="0" fontId="21" fillId="3" borderId="0" xfId="1" applyFont="1" applyFill="1" applyAlignment="1" applyProtection="1">
      <protection hidden="1"/>
    </xf>
    <xf numFmtId="0" fontId="5" fillId="3" borderId="0" xfId="1" applyFont="1" applyFill="1" applyAlignment="1" applyProtection="1">
      <alignment horizontal="left"/>
      <protection hidden="1"/>
    </xf>
    <xf numFmtId="0" fontId="5" fillId="4" borderId="0" xfId="2" applyFill="1" applyBorder="1" applyProtection="1">
      <protection hidden="1"/>
    </xf>
    <xf numFmtId="0" fontId="1" fillId="3" borderId="0" xfId="2" applyFont="1" applyFill="1" applyAlignment="1" applyProtection="1">
      <alignment horizontal="center" wrapText="1"/>
      <protection hidden="1"/>
    </xf>
    <xf numFmtId="0" fontId="1" fillId="0" borderId="0" xfId="2" applyFont="1"/>
    <xf numFmtId="0" fontId="1" fillId="3" borderId="0" xfId="2" applyFont="1" applyFill="1" applyAlignment="1" applyProtection="1">
      <alignment horizontal="center"/>
      <protection hidden="1"/>
    </xf>
    <xf numFmtId="0" fontId="91" fillId="3" borderId="0" xfId="2" applyFont="1" applyFill="1" applyAlignment="1" applyProtection="1">
      <alignment horizontal="center" wrapText="1"/>
      <protection hidden="1"/>
    </xf>
    <xf numFmtId="0" fontId="8" fillId="0" borderId="0" xfId="2" applyFont="1" applyAlignment="1" applyProtection="1">
      <alignment vertical="center" wrapText="1"/>
      <protection hidden="1"/>
    </xf>
    <xf numFmtId="0" fontId="47" fillId="0" borderId="0" xfId="2" applyFont="1" applyAlignment="1" applyProtection="1">
      <alignment horizontal="right"/>
      <protection hidden="1"/>
    </xf>
    <xf numFmtId="0" fontId="47" fillId="3" borderId="0" xfId="2" applyFont="1" applyFill="1" applyAlignment="1" applyProtection="1">
      <alignment horizontal="right"/>
      <protection hidden="1"/>
    </xf>
    <xf numFmtId="0" fontId="19" fillId="3" borderId="0" xfId="2" applyFont="1" applyFill="1" applyAlignment="1" applyProtection="1">
      <protection hidden="1"/>
    </xf>
    <xf numFmtId="0" fontId="44" fillId="3" borderId="0" xfId="2" applyFont="1" applyFill="1" applyAlignment="1" applyProtection="1">
      <protection hidden="1"/>
    </xf>
    <xf numFmtId="0" fontId="15" fillId="3" borderId="0" xfId="3" applyFont="1" applyFill="1" applyAlignment="1" applyProtection="1">
      <protection hidden="1"/>
    </xf>
    <xf numFmtId="0" fontId="5" fillId="2" borderId="0" xfId="2" applyFont="1" applyFill="1" applyAlignment="1" applyProtection="1">
      <alignment vertical="center" wrapText="1"/>
      <protection hidden="1"/>
    </xf>
    <xf numFmtId="0" fontId="45" fillId="3" borderId="0" xfId="3" applyFont="1" applyFill="1" applyAlignment="1" applyProtection="1">
      <alignment horizontal="right"/>
      <protection hidden="1"/>
    </xf>
    <xf numFmtId="0" fontId="5" fillId="3" borderId="0" xfId="199" applyNumberFormat="1" applyFont="1" applyFill="1" applyAlignment="1" applyProtection="1">
      <alignment vertical="center"/>
      <protection hidden="1"/>
    </xf>
    <xf numFmtId="0" fontId="47" fillId="3" borderId="0" xfId="1" applyFont="1" applyFill="1" applyAlignment="1" applyProtection="1">
      <alignment vertical="center" wrapText="1"/>
      <protection hidden="1"/>
    </xf>
    <xf numFmtId="0" fontId="5" fillId="3" borderId="0" xfId="2" applyFont="1" applyFill="1" applyAlignment="1" applyProtection="1">
      <alignment horizontal="right"/>
      <protection hidden="1"/>
    </xf>
    <xf numFmtId="167" fontId="5" fillId="3" borderId="0" xfId="199" applyNumberFormat="1" applyFont="1" applyFill="1" applyAlignment="1" applyProtection="1">
      <alignment vertical="center"/>
      <protection hidden="1"/>
    </xf>
    <xf numFmtId="0" fontId="5" fillId="3" borderId="0" xfId="2" applyFont="1" applyFill="1" applyAlignment="1" applyProtection="1">
      <alignment horizontal="center" vertical="center" wrapText="1"/>
      <protection hidden="1"/>
    </xf>
    <xf numFmtId="0" fontId="8" fillId="3" borderId="0" xfId="2" applyFont="1" applyFill="1" applyAlignment="1" applyProtection="1">
      <alignment horizontal="center" vertical="center" wrapText="1"/>
      <protection hidden="1"/>
    </xf>
    <xf numFmtId="0" fontId="90" fillId="3" borderId="0" xfId="2" applyFont="1" applyFill="1" applyProtection="1">
      <protection hidden="1"/>
    </xf>
    <xf numFmtId="164" fontId="32" fillId="3" borderId="0" xfId="2" applyNumberFormat="1" applyFont="1" applyFill="1" applyAlignment="1" applyProtection="1">
      <alignment horizontal="right"/>
      <protection hidden="1"/>
    </xf>
    <xf numFmtId="0" fontId="1" fillId="3" borderId="0" xfId="2" applyFont="1" applyFill="1" applyProtection="1">
      <protection hidden="1"/>
    </xf>
    <xf numFmtId="164" fontId="25" fillId="3" borderId="11" xfId="2" applyNumberFormat="1" applyFont="1" applyFill="1" applyBorder="1" applyProtection="1">
      <protection hidden="1"/>
    </xf>
    <xf numFmtId="164" fontId="32" fillId="3" borderId="0" xfId="1" applyNumberFormat="1" applyFont="1" applyFill="1" applyProtection="1">
      <protection hidden="1"/>
    </xf>
    <xf numFmtId="0" fontId="26" fillId="5" borderId="115" xfId="2" applyFont="1" applyFill="1" applyBorder="1" applyAlignment="1" applyProtection="1">
      <alignment horizontal="right"/>
      <protection locked="0"/>
    </xf>
    <xf numFmtId="0" fontId="26" fillId="5" borderId="115" xfId="2" applyFont="1" applyFill="1" applyBorder="1" applyProtection="1">
      <protection locked="0"/>
    </xf>
    <xf numFmtId="0" fontId="94" fillId="3" borderId="0" xfId="2" applyFont="1" applyFill="1" applyAlignment="1" applyProtection="1">
      <alignment horizontal="center" wrapText="1"/>
      <protection hidden="1"/>
    </xf>
    <xf numFmtId="1" fontId="5" fillId="3" borderId="21" xfId="2" applyNumberFormat="1" applyFill="1" applyBorder="1" applyProtection="1">
      <protection hidden="1"/>
    </xf>
    <xf numFmtId="1" fontId="5" fillId="3" borderId="30" xfId="2" applyNumberFormat="1" applyFill="1" applyBorder="1" applyProtection="1">
      <protection hidden="1"/>
    </xf>
    <xf numFmtId="1" fontId="5" fillId="3" borderId="25" xfId="2" applyNumberFormat="1" applyFill="1" applyBorder="1" applyProtection="1">
      <protection hidden="1"/>
    </xf>
    <xf numFmtId="1" fontId="26" fillId="3" borderId="21" xfId="2" applyNumberFormat="1" applyFont="1" applyFill="1" applyBorder="1" applyProtection="1">
      <protection hidden="1"/>
    </xf>
    <xf numFmtId="1" fontId="26" fillId="3" borderId="0" xfId="2" applyNumberFormat="1" applyFont="1" applyFill="1" applyBorder="1" applyProtection="1">
      <protection hidden="1"/>
    </xf>
    <xf numFmtId="164" fontId="5" fillId="3" borderId="21" xfId="4" applyNumberFormat="1" applyFont="1" applyFill="1" applyBorder="1" applyAlignment="1" applyProtection="1">
      <alignment horizontal="left"/>
      <protection hidden="1"/>
    </xf>
    <xf numFmtId="0" fontId="5" fillId="2" borderId="39" xfId="2" applyFill="1" applyBorder="1" applyAlignment="1" applyProtection="1">
      <alignment horizontal="left"/>
      <protection hidden="1"/>
    </xf>
    <xf numFmtId="164" fontId="5" fillId="2" borderId="40" xfId="2" applyNumberFormat="1" applyFill="1" applyBorder="1" applyAlignment="1" applyProtection="1">
      <alignment horizontal="right"/>
      <protection hidden="1"/>
    </xf>
    <xf numFmtId="164" fontId="5" fillId="0" borderId="16" xfId="2" applyNumberFormat="1" applyBorder="1" applyAlignment="1" applyProtection="1">
      <alignment horizontal="right"/>
      <protection hidden="1"/>
    </xf>
    <xf numFmtId="164" fontId="5" fillId="0" borderId="17" xfId="2" applyNumberFormat="1" applyBorder="1" applyAlignment="1" applyProtection="1">
      <alignment horizontal="right"/>
      <protection hidden="1"/>
    </xf>
    <xf numFmtId="164" fontId="5" fillId="3" borderId="20" xfId="4" applyNumberFormat="1" applyFont="1" applyFill="1" applyBorder="1" applyAlignment="1" applyProtection="1">
      <alignment horizontal="center"/>
      <protection hidden="1"/>
    </xf>
    <xf numFmtId="164" fontId="5" fillId="2" borderId="0" xfId="2" applyNumberFormat="1" applyFill="1" applyBorder="1" applyAlignment="1" applyProtection="1">
      <alignment horizontal="right"/>
      <protection hidden="1"/>
    </xf>
    <xf numFmtId="0" fontId="56" fillId="4" borderId="0" xfId="2" applyFont="1" applyFill="1" applyBorder="1" applyAlignment="1" applyProtection="1">
      <alignment horizontal="left"/>
      <protection hidden="1"/>
    </xf>
    <xf numFmtId="0" fontId="5" fillId="3" borderId="0" xfId="2" applyFont="1" applyFill="1" applyAlignment="1" applyProtection="1">
      <alignment horizontal="center" wrapText="1"/>
      <protection hidden="1"/>
    </xf>
    <xf numFmtId="0" fontId="5" fillId="3" borderId="0" xfId="2" applyFont="1" applyFill="1" applyAlignment="1" applyProtection="1">
      <alignment wrapText="1"/>
      <protection hidden="1"/>
    </xf>
    <xf numFmtId="1" fontId="5" fillId="3" borderId="0" xfId="2" applyNumberFormat="1" applyFill="1" applyAlignment="1" applyProtection="1">
      <alignment horizontal="right"/>
      <protection hidden="1"/>
    </xf>
    <xf numFmtId="0" fontId="1" fillId="4" borderId="0" xfId="2" applyFont="1" applyFill="1" applyProtection="1">
      <protection hidden="1"/>
    </xf>
    <xf numFmtId="0" fontId="47" fillId="2" borderId="0" xfId="2" applyFont="1" applyFill="1" applyAlignment="1" applyProtection="1">
      <alignment horizontal="right"/>
      <protection hidden="1"/>
    </xf>
    <xf numFmtId="0" fontId="97" fillId="3" borderId="0" xfId="2" applyFont="1" applyFill="1" applyAlignment="1" applyProtection="1">
      <alignment wrapText="1"/>
      <protection hidden="1"/>
    </xf>
    <xf numFmtId="0" fontId="15" fillId="3" borderId="0" xfId="3" applyFont="1" applyFill="1" applyAlignment="1" applyProtection="1">
      <alignment horizontal="left" wrapText="1"/>
      <protection hidden="1"/>
    </xf>
    <xf numFmtId="0" fontId="15" fillId="0" borderId="0" xfId="3" applyFont="1" applyAlignment="1" applyProtection="1">
      <alignment vertical="center" wrapText="1"/>
      <protection hidden="1"/>
    </xf>
    <xf numFmtId="0" fontId="44" fillId="3" borderId="124" xfId="2" applyFont="1" applyFill="1" applyBorder="1" applyAlignment="1" applyProtection="1">
      <alignment horizontal="center"/>
      <protection hidden="1"/>
    </xf>
    <xf numFmtId="0" fontId="5" fillId="3" borderId="0" xfId="2" applyFill="1" applyBorder="1" applyAlignment="1" applyProtection="1">
      <alignment horizontal="center"/>
      <protection hidden="1"/>
    </xf>
    <xf numFmtId="1" fontId="5" fillId="3" borderId="0" xfId="2" applyNumberFormat="1" applyFill="1" applyBorder="1" applyAlignment="1" applyProtection="1">
      <alignment horizontal="center"/>
      <protection hidden="1"/>
    </xf>
    <xf numFmtId="1" fontId="44" fillId="3" borderId="0" xfId="1" applyNumberFormat="1" applyFont="1" applyFill="1" applyAlignment="1" applyProtection="1">
      <alignment horizontal="left"/>
      <protection hidden="1"/>
    </xf>
    <xf numFmtId="0" fontId="36" fillId="3" borderId="0" xfId="2" applyFont="1" applyFill="1" applyAlignment="1" applyProtection="1">
      <alignment horizontal="left"/>
      <protection hidden="1"/>
    </xf>
    <xf numFmtId="0" fontId="1" fillId="0" borderId="0" xfId="2" applyFont="1" applyProtection="1">
      <protection hidden="1"/>
    </xf>
    <xf numFmtId="0" fontId="14" fillId="0" borderId="115" xfId="2" applyFont="1" applyBorder="1" applyProtection="1">
      <protection hidden="1"/>
    </xf>
    <xf numFmtId="0" fontId="47" fillId="0" borderId="0" xfId="2" applyFont="1" applyProtection="1">
      <protection hidden="1"/>
    </xf>
    <xf numFmtId="1" fontId="5" fillId="0" borderId="0" xfId="2" applyNumberFormat="1" applyProtection="1">
      <protection hidden="1"/>
    </xf>
    <xf numFmtId="0" fontId="95" fillId="0" borderId="0" xfId="2" applyFont="1" applyProtection="1">
      <protection hidden="1"/>
    </xf>
    <xf numFmtId="0" fontId="52" fillId="3" borderId="0" xfId="2" applyFont="1" applyFill="1" applyAlignment="1" applyProtection="1">
      <alignment wrapText="1"/>
      <protection hidden="1"/>
    </xf>
    <xf numFmtId="0" fontId="1" fillId="2" borderId="0" xfId="2" applyFont="1" applyFill="1" applyProtection="1">
      <protection hidden="1"/>
    </xf>
    <xf numFmtId="0" fontId="103" fillId="0" borderId="0" xfId="2" applyFont="1" applyProtection="1">
      <protection hidden="1"/>
    </xf>
    <xf numFmtId="1" fontId="9" fillId="41" borderId="124" xfId="2" applyNumberFormat="1" applyFont="1" applyFill="1" applyBorder="1" applyProtection="1">
      <protection hidden="1"/>
    </xf>
    <xf numFmtId="0" fontId="104" fillId="0" borderId="0" xfId="2" applyFont="1" applyProtection="1">
      <protection hidden="1"/>
    </xf>
    <xf numFmtId="0" fontId="106" fillId="0" borderId="0" xfId="2" applyFont="1" applyProtection="1">
      <protection hidden="1"/>
    </xf>
    <xf numFmtId="1" fontId="9" fillId="0" borderId="0" xfId="2" applyNumberFormat="1" applyFont="1" applyProtection="1">
      <protection hidden="1"/>
    </xf>
    <xf numFmtId="0" fontId="106" fillId="0" borderId="0" xfId="2" applyFont="1" applyBorder="1" applyProtection="1">
      <protection hidden="1"/>
    </xf>
    <xf numFmtId="0" fontId="52" fillId="0" borderId="139" xfId="2" applyFont="1" applyBorder="1" applyProtection="1">
      <protection hidden="1"/>
    </xf>
    <xf numFmtId="1" fontId="66" fillId="0" borderId="0" xfId="2" applyNumberFormat="1" applyFont="1" applyProtection="1">
      <protection hidden="1"/>
    </xf>
    <xf numFmtId="0" fontId="108" fillId="0" borderId="0" xfId="2" applyFont="1" applyProtection="1">
      <protection hidden="1"/>
    </xf>
    <xf numFmtId="0" fontId="109" fillId="0" borderId="0" xfId="2" applyFont="1" applyProtection="1">
      <protection hidden="1"/>
    </xf>
    <xf numFmtId="4" fontId="110" fillId="0" borderId="0" xfId="2" applyNumberFormat="1" applyFont="1" applyProtection="1">
      <protection hidden="1"/>
    </xf>
    <xf numFmtId="0" fontId="5" fillId="0" borderId="0" xfId="2" applyFont="1" applyProtection="1">
      <protection hidden="1"/>
    </xf>
    <xf numFmtId="4" fontId="113" fillId="0" borderId="0" xfId="2" applyNumberFormat="1" applyFont="1" applyProtection="1">
      <protection hidden="1"/>
    </xf>
    <xf numFmtId="0" fontId="68" fillId="3" borderId="0" xfId="2" applyFont="1" applyFill="1" applyProtection="1">
      <protection hidden="1"/>
    </xf>
    <xf numFmtId="4" fontId="103" fillId="0" borderId="0" xfId="2" applyNumberFormat="1" applyFont="1" applyProtection="1">
      <protection hidden="1"/>
    </xf>
    <xf numFmtId="0" fontId="114" fillId="0" borderId="0" xfId="2" applyFont="1" applyProtection="1">
      <protection hidden="1"/>
    </xf>
    <xf numFmtId="0" fontId="5" fillId="14" borderId="61" xfId="2" applyFill="1" applyBorder="1" applyProtection="1">
      <protection hidden="1"/>
    </xf>
    <xf numFmtId="0" fontId="5" fillId="14" borderId="58" xfId="2" applyFill="1" applyBorder="1" applyAlignment="1" applyProtection="1">
      <alignment horizontal="left"/>
      <protection hidden="1"/>
    </xf>
    <xf numFmtId="4" fontId="1" fillId="0" borderId="0" xfId="2" applyNumberFormat="1" applyFont="1" applyProtection="1">
      <protection hidden="1"/>
    </xf>
    <xf numFmtId="4" fontId="115" fillId="0" borderId="0" xfId="2" applyNumberFormat="1" applyFont="1" applyProtection="1">
      <protection hidden="1"/>
    </xf>
    <xf numFmtId="0" fontId="5" fillId="14" borderId="144" xfId="2" applyFill="1" applyBorder="1" applyProtection="1">
      <protection hidden="1"/>
    </xf>
    <xf numFmtId="4" fontId="5" fillId="0" borderId="0" xfId="2" applyNumberFormat="1" applyProtection="1">
      <protection hidden="1"/>
    </xf>
    <xf numFmtId="1" fontId="5" fillId="4" borderId="0" xfId="2" applyNumberFormat="1" applyFill="1" applyProtection="1">
      <protection hidden="1"/>
    </xf>
    <xf numFmtId="0" fontId="105" fillId="4" borderId="0" xfId="6" applyFont="1" applyFill="1" applyAlignment="1" applyProtection="1">
      <protection hidden="1"/>
    </xf>
    <xf numFmtId="0" fontId="5" fillId="4" borderId="0" xfId="6" applyFont="1" applyFill="1" applyProtection="1">
      <protection hidden="1"/>
    </xf>
    <xf numFmtId="164" fontId="5" fillId="6" borderId="124" xfId="2" applyNumberFormat="1" applyFont="1" applyFill="1" applyBorder="1" applyAlignment="1" applyProtection="1">
      <alignment horizontal="center"/>
      <protection locked="0"/>
    </xf>
    <xf numFmtId="0" fontId="5" fillId="3" borderId="0" xfId="2" applyFill="1" applyAlignment="1" applyProtection="1">
      <alignment vertical="center" wrapText="1"/>
      <protection hidden="1"/>
    </xf>
    <xf numFmtId="0" fontId="5" fillId="2" borderId="0" xfId="2" applyFill="1" applyAlignment="1" applyProtection="1">
      <alignment vertical="top" wrapText="1"/>
      <protection hidden="1"/>
    </xf>
    <xf numFmtId="0" fontId="5" fillId="3" borderId="0" xfId="200" applyFont="1" applyFill="1" applyProtection="1">
      <protection hidden="1"/>
    </xf>
    <xf numFmtId="0" fontId="5" fillId="2" borderId="0" xfId="200" applyFont="1" applyFill="1" applyBorder="1" applyAlignment="1" applyProtection="1">
      <alignment horizontal="left"/>
      <protection hidden="1"/>
    </xf>
    <xf numFmtId="0" fontId="5" fillId="2" borderId="0" xfId="200" applyFont="1" applyFill="1" applyProtection="1">
      <protection hidden="1"/>
    </xf>
    <xf numFmtId="0" fontId="5" fillId="10" borderId="145" xfId="2" applyFont="1" applyFill="1" applyBorder="1" applyAlignment="1" applyProtection="1">
      <alignment horizontal="center"/>
      <protection hidden="1"/>
    </xf>
    <xf numFmtId="2" fontId="47" fillId="0" borderId="124" xfId="2" applyNumberFormat="1" applyFont="1" applyBorder="1" applyAlignment="1" applyProtection="1">
      <alignment horizontal="center"/>
      <protection hidden="1"/>
    </xf>
    <xf numFmtId="0" fontId="1" fillId="4" borderId="0" xfId="2" applyFont="1" applyFill="1" applyBorder="1" applyProtection="1">
      <protection hidden="1"/>
    </xf>
    <xf numFmtId="0" fontId="119" fillId="2" borderId="0" xfId="2" applyFont="1" applyFill="1" applyBorder="1" applyAlignment="1" applyProtection="1">
      <alignment horizontal="left"/>
      <protection hidden="1"/>
    </xf>
    <xf numFmtId="1" fontId="5" fillId="3" borderId="0" xfId="2" applyNumberFormat="1" applyFill="1" applyAlignment="1" applyProtection="1">
      <alignment horizontal="left"/>
      <protection hidden="1"/>
    </xf>
    <xf numFmtId="0" fontId="5" fillId="3" borderId="0" xfId="2" applyFill="1" applyAlignment="1" applyProtection="1">
      <alignment horizontal="right" vertical="top" wrapText="1"/>
      <protection hidden="1"/>
    </xf>
    <xf numFmtId="0" fontId="5" fillId="3" borderId="0" xfId="2" applyFill="1" applyAlignment="1" applyProtection="1">
      <alignment horizontal="center"/>
      <protection hidden="1"/>
    </xf>
    <xf numFmtId="0" fontId="94" fillId="2" borderId="0" xfId="2" applyFont="1" applyFill="1" applyAlignment="1" applyProtection="1">
      <alignment horizontal="center" vertical="top" wrapText="1"/>
      <protection hidden="1"/>
    </xf>
    <xf numFmtId="166" fontId="119" fillId="0" borderId="124" xfId="1" applyNumberFormat="1" applyFont="1" applyBorder="1" applyAlignment="1" applyProtection="1">
      <alignment horizontal="center" wrapText="1"/>
      <protection hidden="1"/>
    </xf>
    <xf numFmtId="0" fontId="26" fillId="0" borderId="81" xfId="1" applyFont="1" applyBorder="1" applyAlignment="1" applyProtection="1">
      <alignment horizontal="right"/>
      <protection hidden="1"/>
    </xf>
    <xf numFmtId="166" fontId="26" fillId="0" borderId="81" xfId="1" applyNumberFormat="1" applyFont="1" applyBorder="1" applyAlignment="1" applyProtection="1">
      <alignment horizontal="center"/>
      <protection hidden="1"/>
    </xf>
    <xf numFmtId="0" fontId="39" fillId="3" borderId="0" xfId="2" applyFont="1" applyFill="1" applyProtection="1">
      <protection hidden="1"/>
    </xf>
    <xf numFmtId="0" fontId="39" fillId="3" borderId="0" xfId="1" applyFont="1" applyFill="1" applyAlignment="1" applyProtection="1">
      <alignment vertical="top"/>
      <protection hidden="1"/>
    </xf>
    <xf numFmtId="2" fontId="142" fillId="3" borderId="0" xfId="1" applyNumberFormat="1" applyFont="1" applyFill="1" applyProtection="1">
      <protection hidden="1"/>
    </xf>
    <xf numFmtId="0" fontId="39" fillId="0" borderId="0" xfId="2" applyFont="1" applyProtection="1">
      <protection hidden="1"/>
    </xf>
    <xf numFmtId="165" fontId="39" fillId="0" borderId="0" xfId="0" applyNumberFormat="1" applyFont="1" applyProtection="1">
      <protection hidden="1"/>
    </xf>
    <xf numFmtId="49" fontId="39" fillId="0" borderId="0" xfId="1" applyNumberFormat="1" applyFont="1" applyProtection="1">
      <protection hidden="1"/>
    </xf>
    <xf numFmtId="0" fontId="39" fillId="0" borderId="0" xfId="1" applyFont="1" applyProtection="1">
      <protection hidden="1"/>
    </xf>
    <xf numFmtId="164" fontId="44" fillId="0" borderId="0" xfId="1" applyNumberFormat="1" applyFont="1" applyProtection="1">
      <protection hidden="1"/>
    </xf>
    <xf numFmtId="0" fontId="5" fillId="3" borderId="0" xfId="1" applyFont="1" applyFill="1" applyBorder="1" applyAlignment="1" applyProtection="1">
      <alignment vertical="top" wrapText="1"/>
      <protection hidden="1"/>
    </xf>
    <xf numFmtId="0" fontId="3" fillId="2" borderId="0" xfId="1" applyFont="1" applyFill="1" applyAlignment="1" applyProtection="1">
      <alignment horizontal="center"/>
      <protection hidden="1"/>
    </xf>
    <xf numFmtId="0" fontId="4" fillId="2" borderId="0" xfId="1" applyFont="1" applyFill="1" applyAlignment="1" applyProtection="1">
      <alignment horizontal="center"/>
      <protection hidden="1"/>
    </xf>
    <xf numFmtId="0" fontId="9" fillId="2" borderId="0" xfId="2" applyFont="1" applyFill="1" applyAlignment="1" applyProtection="1">
      <protection hidden="1"/>
    </xf>
    <xf numFmtId="0" fontId="5" fillId="5" borderId="115" xfId="2" applyFill="1" applyBorder="1" applyAlignment="1" applyProtection="1">
      <alignment horizontal="center" vertical="center" wrapText="1"/>
      <protection locked="0"/>
    </xf>
    <xf numFmtId="0" fontId="5" fillId="5" borderId="115" xfId="2" applyFill="1" applyBorder="1" applyAlignment="1" applyProtection="1">
      <alignment horizontal="center" vertical="center"/>
      <protection locked="0"/>
    </xf>
    <xf numFmtId="2" fontId="14" fillId="3" borderId="0" xfId="1" applyNumberFormat="1" applyFont="1" applyFill="1" applyAlignment="1" applyProtection="1">
      <alignment horizontal="center" vertical="center"/>
      <protection hidden="1"/>
    </xf>
    <xf numFmtId="0" fontId="5" fillId="13" borderId="124" xfId="2" applyNumberFormat="1" applyFill="1" applyBorder="1" applyAlignment="1" applyProtection="1">
      <alignment horizontal="center"/>
      <protection locked="0"/>
    </xf>
    <xf numFmtId="0" fontId="47" fillId="4" borderId="0" xfId="2" applyFont="1" applyFill="1" applyAlignment="1" applyProtection="1">
      <alignment horizontal="right"/>
      <protection hidden="1"/>
    </xf>
    <xf numFmtId="2" fontId="92" fillId="3" borderId="0" xfId="1" applyNumberFormat="1" applyFont="1" applyFill="1" applyAlignment="1" applyProtection="1">
      <alignment vertical="top" wrapText="1"/>
      <protection hidden="1"/>
    </xf>
    <xf numFmtId="0" fontId="5" fillId="3" borderId="0" xfId="199" applyNumberFormat="1" applyFont="1" applyFill="1" applyBorder="1" applyAlignment="1" applyProtection="1">
      <alignment vertical="center"/>
      <protection hidden="1"/>
    </xf>
    <xf numFmtId="0" fontId="47" fillId="0" borderId="0" xfId="2" applyFont="1" applyBorder="1" applyProtection="1">
      <protection hidden="1"/>
    </xf>
    <xf numFmtId="0" fontId="5" fillId="0" borderId="0" xfId="2" applyBorder="1" applyProtection="1">
      <protection hidden="1"/>
    </xf>
    <xf numFmtId="0" fontId="47" fillId="0" borderId="150" xfId="2" applyFont="1" applyBorder="1" applyProtection="1">
      <protection hidden="1"/>
    </xf>
    <xf numFmtId="0" fontId="5" fillId="0" borderId="150" xfId="2" applyBorder="1" applyProtection="1">
      <protection hidden="1"/>
    </xf>
    <xf numFmtId="0" fontId="47" fillId="0" borderId="50" xfId="2" applyFont="1" applyBorder="1" applyProtection="1">
      <protection hidden="1"/>
    </xf>
    <xf numFmtId="0" fontId="5" fillId="0" borderId="50" xfId="2" applyBorder="1" applyProtection="1">
      <protection hidden="1"/>
    </xf>
    <xf numFmtId="0" fontId="5" fillId="0" borderId="152" xfId="2" applyBorder="1" applyProtection="1">
      <protection hidden="1"/>
    </xf>
    <xf numFmtId="0" fontId="75" fillId="3" borderId="0" xfId="2" applyFont="1" applyFill="1" applyAlignment="1" applyProtection="1">
      <protection hidden="1"/>
    </xf>
    <xf numFmtId="0" fontId="44" fillId="14" borderId="58" xfId="2" applyFont="1" applyFill="1" applyBorder="1" applyAlignment="1" applyProtection="1">
      <alignment horizontal="left"/>
      <protection hidden="1"/>
    </xf>
    <xf numFmtId="2" fontId="4" fillId="2" borderId="0" xfId="1" applyNumberFormat="1" applyFont="1" applyFill="1" applyAlignment="1" applyProtection="1">
      <alignment vertical="top"/>
      <protection hidden="1"/>
    </xf>
    <xf numFmtId="0" fontId="13" fillId="3" borderId="0" xfId="3" applyFont="1" applyFill="1" applyAlignment="1" applyProtection="1">
      <alignment vertical="top"/>
      <protection hidden="1"/>
    </xf>
    <xf numFmtId="0" fontId="21" fillId="3" borderId="0" xfId="2" applyFont="1" applyFill="1" applyAlignment="1" applyProtection="1">
      <protection hidden="1"/>
    </xf>
    <xf numFmtId="0" fontId="1" fillId="4" borderId="16" xfId="2" applyFont="1" applyFill="1" applyBorder="1" applyAlignment="1" applyProtection="1">
      <protection hidden="1"/>
    </xf>
    <xf numFmtId="0" fontId="1" fillId="4" borderId="17" xfId="2" applyFont="1" applyFill="1" applyBorder="1" applyAlignment="1" applyProtection="1">
      <protection hidden="1"/>
    </xf>
    <xf numFmtId="0" fontId="1" fillId="4" borderId="20" xfId="2" applyFont="1" applyFill="1" applyBorder="1" applyAlignment="1" applyProtection="1">
      <protection hidden="1"/>
    </xf>
    <xf numFmtId="0" fontId="15" fillId="4" borderId="0" xfId="3" applyFont="1" applyFill="1" applyAlignment="1" applyProtection="1">
      <alignment vertical="top"/>
      <protection hidden="1"/>
    </xf>
    <xf numFmtId="0" fontId="15" fillId="4" borderId="0" xfId="3" applyFont="1" applyFill="1" applyAlignment="1" applyProtection="1">
      <alignment horizontal="center" vertical="top"/>
      <protection hidden="1"/>
    </xf>
    <xf numFmtId="166" fontId="9" fillId="0" borderId="0" xfId="2" applyNumberFormat="1" applyFont="1" applyProtection="1">
      <protection hidden="1"/>
    </xf>
    <xf numFmtId="0" fontId="71" fillId="2" borderId="0" xfId="2" applyFont="1" applyFill="1" applyAlignment="1" applyProtection="1">
      <protection hidden="1"/>
    </xf>
    <xf numFmtId="0" fontId="14" fillId="4" borderId="17" xfId="6" applyFont="1" applyFill="1" applyBorder="1" applyAlignment="1" applyProtection="1">
      <alignment horizontal="left"/>
      <protection hidden="1"/>
    </xf>
    <xf numFmtId="0" fontId="61" fillId="0" borderId="0" xfId="2" applyFont="1" applyProtection="1">
      <protection hidden="1"/>
    </xf>
    <xf numFmtId="0" fontId="39" fillId="4" borderId="0" xfId="2" applyFont="1" applyFill="1" applyProtection="1">
      <protection hidden="1"/>
    </xf>
    <xf numFmtId="0" fontId="44" fillId="4" borderId="0" xfId="2" applyFont="1" applyFill="1" applyProtection="1">
      <protection hidden="1"/>
    </xf>
    <xf numFmtId="0" fontId="146" fillId="3" borderId="0" xfId="6" applyFont="1" applyFill="1" applyAlignment="1" applyProtection="1">
      <alignment horizontal="center" wrapText="1"/>
      <protection hidden="1"/>
    </xf>
    <xf numFmtId="0" fontId="6" fillId="3" borderId="0" xfId="6" applyFont="1" applyFill="1" applyAlignment="1" applyProtection="1">
      <protection hidden="1"/>
    </xf>
    <xf numFmtId="0" fontId="1" fillId="3" borderId="0" xfId="6" applyFont="1" applyFill="1" applyProtection="1">
      <protection hidden="1"/>
    </xf>
    <xf numFmtId="0" fontId="2" fillId="4" borderId="0" xfId="2" applyFont="1" applyFill="1" applyAlignment="1" applyProtection="1">
      <protection hidden="1"/>
    </xf>
    <xf numFmtId="0" fontId="1" fillId="0" borderId="0" xfId="6" applyFont="1"/>
    <xf numFmtId="0" fontId="11" fillId="3" borderId="0" xfId="6" applyFont="1" applyFill="1" applyProtection="1">
      <protection hidden="1"/>
    </xf>
    <xf numFmtId="0" fontId="5" fillId="3" borderId="0" xfId="6" applyFont="1" applyFill="1" applyAlignment="1" applyProtection="1">
      <alignment horizontal="center" wrapText="1"/>
      <protection hidden="1"/>
    </xf>
    <xf numFmtId="0" fontId="1" fillId="3" borderId="0" xfId="6" applyFont="1" applyFill="1" applyAlignment="1" applyProtection="1">
      <alignment horizontal="center" wrapText="1"/>
      <protection hidden="1"/>
    </xf>
    <xf numFmtId="0" fontId="20" fillId="3" borderId="0" xfId="6" applyFont="1" applyFill="1" applyAlignment="1" applyProtection="1">
      <protection hidden="1"/>
    </xf>
    <xf numFmtId="0" fontId="1" fillId="3" borderId="0" xfId="6" applyFont="1" applyFill="1" applyAlignment="1" applyProtection="1">
      <alignment horizontal="center"/>
      <protection hidden="1"/>
    </xf>
    <xf numFmtId="0" fontId="13" fillId="0" borderId="0" xfId="3" applyFont="1" applyAlignment="1" applyProtection="1">
      <alignment horizontal="right"/>
      <protection hidden="1"/>
    </xf>
    <xf numFmtId="0" fontId="1" fillId="0" borderId="0" xfId="6" applyFont="1" applyProtection="1">
      <protection hidden="1"/>
    </xf>
    <xf numFmtId="0" fontId="5" fillId="5" borderId="167" xfId="288" applyFont="1" applyFill="1" applyBorder="1" applyProtection="1">
      <protection hidden="1"/>
    </xf>
    <xf numFmtId="0" fontId="5" fillId="7" borderId="167" xfId="288" applyFont="1" applyFill="1" applyBorder="1" applyProtection="1">
      <protection hidden="1"/>
    </xf>
    <xf numFmtId="0" fontId="5" fillId="3" borderId="0" xfId="4" applyFont="1" applyFill="1" applyAlignment="1" applyProtection="1">
      <alignment wrapText="1"/>
      <protection hidden="1"/>
    </xf>
    <xf numFmtId="0" fontId="5" fillId="2" borderId="0" xfId="4" applyFont="1" applyFill="1" applyAlignment="1" applyProtection="1">
      <alignment horizontal="left" wrapText="1"/>
      <protection hidden="1"/>
    </xf>
    <xf numFmtId="0" fontId="5" fillId="3" borderId="0" xfId="6" applyFont="1" applyFill="1" applyAlignment="1" applyProtection="1">
      <alignment horizontal="left" vertical="center" wrapText="1"/>
      <protection hidden="1"/>
    </xf>
    <xf numFmtId="0" fontId="5" fillId="3" borderId="0" xfId="6" applyFont="1" applyFill="1" applyProtection="1">
      <protection hidden="1"/>
    </xf>
    <xf numFmtId="0" fontId="5" fillId="3" borderId="0" xfId="6" applyFont="1" applyFill="1" applyAlignment="1" applyProtection="1">
      <alignment horizontal="center"/>
      <protection hidden="1"/>
    </xf>
    <xf numFmtId="0" fontId="26" fillId="0" borderId="0" xfId="6" applyFont="1" applyAlignment="1" applyProtection="1">
      <alignment horizontal="right"/>
      <protection hidden="1"/>
    </xf>
    <xf numFmtId="0" fontId="5" fillId="3" borderId="115" xfId="288" applyFont="1" applyFill="1" applyBorder="1" applyAlignment="1" applyProtection="1">
      <protection hidden="1"/>
    </xf>
    <xf numFmtId="0" fontId="36" fillId="3" borderId="158" xfId="2" applyFont="1" applyFill="1" applyBorder="1" applyAlignment="1" applyProtection="1">
      <protection hidden="1"/>
    </xf>
    <xf numFmtId="0" fontId="26" fillId="4" borderId="0" xfId="6" applyFont="1" applyFill="1" applyBorder="1" applyAlignment="1" applyProtection="1">
      <protection hidden="1"/>
    </xf>
    <xf numFmtId="0" fontId="1" fillId="2" borderId="0" xfId="6" applyFont="1" applyFill="1" applyProtection="1">
      <protection hidden="1"/>
    </xf>
    <xf numFmtId="0" fontId="15" fillId="4" borderId="0" xfId="3" applyFont="1" applyFill="1" applyBorder="1" applyAlignment="1" applyProtection="1">
      <alignment horizontal="left" vertical="top"/>
      <protection hidden="1"/>
    </xf>
    <xf numFmtId="0" fontId="5" fillId="4" borderId="181" xfId="6" applyFont="1" applyFill="1" applyBorder="1" applyProtection="1">
      <protection hidden="1"/>
    </xf>
    <xf numFmtId="0" fontId="5" fillId="3" borderId="0" xfId="6" applyFont="1" applyFill="1" applyBorder="1" applyAlignment="1" applyProtection="1">
      <alignment vertical="top" wrapText="1"/>
      <protection hidden="1"/>
    </xf>
    <xf numFmtId="1" fontId="5" fillId="0" borderId="0" xfId="6" applyNumberFormat="1" applyFont="1" applyAlignment="1" applyProtection="1">
      <alignment horizontal="center"/>
      <protection hidden="1"/>
    </xf>
    <xf numFmtId="0" fontId="5" fillId="4" borderId="0" xfId="6" applyFont="1" applyFill="1" applyAlignment="1" applyProtection="1">
      <protection hidden="1"/>
    </xf>
    <xf numFmtId="0" fontId="5" fillId="4" borderId="148" xfId="6" applyFont="1" applyFill="1" applyBorder="1" applyAlignment="1" applyProtection="1">
      <alignment horizontal="left"/>
      <protection hidden="1"/>
    </xf>
    <xf numFmtId="0" fontId="47" fillId="0" borderId="0" xfId="6" applyFont="1" applyAlignment="1" applyProtection="1">
      <alignment horizontal="center"/>
      <protection hidden="1"/>
    </xf>
    <xf numFmtId="168" fontId="5" fillId="4" borderId="115" xfId="2" applyNumberFormat="1" applyFont="1" applyFill="1" applyBorder="1" applyAlignment="1" applyProtection="1">
      <alignment horizontal="center"/>
      <protection hidden="1"/>
    </xf>
    <xf numFmtId="0" fontId="5" fillId="0" borderId="24" xfId="6" applyFont="1" applyBorder="1" applyProtection="1">
      <protection hidden="1"/>
    </xf>
    <xf numFmtId="0" fontId="5" fillId="4" borderId="148" xfId="6" applyFont="1" applyFill="1" applyBorder="1" applyProtection="1">
      <protection hidden="1"/>
    </xf>
    <xf numFmtId="1" fontId="5" fillId="4" borderId="154" xfId="6" applyNumberFormat="1" applyFont="1" applyFill="1" applyBorder="1" applyProtection="1">
      <protection hidden="1"/>
    </xf>
    <xf numFmtId="0" fontId="5" fillId="3" borderId="0" xfId="6" applyFont="1" applyFill="1" applyAlignment="1" applyProtection="1">
      <alignment vertical="top" wrapText="1"/>
      <protection hidden="1"/>
    </xf>
    <xf numFmtId="0" fontId="5" fillId="0" borderId="61" xfId="6" applyFont="1" applyBorder="1" applyAlignment="1" applyProtection="1">
      <alignment horizontal="left"/>
      <protection hidden="1"/>
    </xf>
    <xf numFmtId="0" fontId="5" fillId="14" borderId="148" xfId="6" applyFont="1" applyFill="1" applyBorder="1" applyAlignment="1" applyProtection="1">
      <alignment horizontal="left"/>
      <protection hidden="1"/>
    </xf>
    <xf numFmtId="1" fontId="26" fillId="4" borderId="33" xfId="6" applyNumberFormat="1" applyFont="1" applyFill="1" applyBorder="1" applyProtection="1">
      <protection hidden="1"/>
    </xf>
    <xf numFmtId="0" fontId="52" fillId="14" borderId="16" xfId="6" applyFont="1" applyFill="1" applyBorder="1" applyAlignment="1" applyProtection="1">
      <alignment horizontal="right"/>
      <protection hidden="1"/>
    </xf>
    <xf numFmtId="164" fontId="5" fillId="4" borderId="154" xfId="6" applyNumberFormat="1" applyFont="1" applyFill="1" applyBorder="1" applyProtection="1">
      <protection hidden="1"/>
    </xf>
    <xf numFmtId="0" fontId="1" fillId="4" borderId="0" xfId="6" applyFont="1" applyFill="1" applyAlignment="1" applyProtection="1">
      <alignment horizontal="left"/>
      <protection hidden="1"/>
    </xf>
    <xf numFmtId="0" fontId="26" fillId="3" borderId="181" xfId="6" applyFont="1" applyFill="1" applyBorder="1" applyAlignment="1" applyProtection="1">
      <alignment horizontal="right"/>
      <protection hidden="1"/>
    </xf>
    <xf numFmtId="164" fontId="5" fillId="4" borderId="154" xfId="2" applyNumberFormat="1" applyFill="1" applyBorder="1" applyAlignment="1" applyProtection="1">
      <alignment horizontal="right"/>
      <protection hidden="1"/>
    </xf>
    <xf numFmtId="0" fontId="1" fillId="4" borderId="0" xfId="6" applyFont="1" applyFill="1" applyAlignment="1" applyProtection="1">
      <protection hidden="1"/>
    </xf>
    <xf numFmtId="0" fontId="151" fillId="3" borderId="16" xfId="6" applyFont="1" applyFill="1" applyBorder="1" applyAlignment="1" applyProtection="1">
      <alignment horizontal="right"/>
      <protection hidden="1"/>
    </xf>
    <xf numFmtId="0" fontId="5" fillId="0" borderId="185" xfId="6" applyFont="1" applyBorder="1" applyProtection="1">
      <protection hidden="1"/>
    </xf>
    <xf numFmtId="0" fontId="26" fillId="0" borderId="115" xfId="6" applyFont="1" applyBorder="1" applyAlignment="1" applyProtection="1">
      <alignment horizontal="right"/>
      <protection hidden="1"/>
    </xf>
    <xf numFmtId="0" fontId="5" fillId="0" borderId="0" xfId="6" applyFont="1" applyProtection="1">
      <protection hidden="1"/>
    </xf>
    <xf numFmtId="1" fontId="5" fillId="0" borderId="0" xfId="6" applyNumberFormat="1" applyFont="1" applyProtection="1">
      <protection hidden="1"/>
    </xf>
    <xf numFmtId="0" fontId="95" fillId="0" borderId="58" xfId="6" applyFont="1" applyBorder="1" applyProtection="1">
      <protection hidden="1"/>
    </xf>
    <xf numFmtId="166" fontId="5" fillId="0" borderId="124" xfId="6" applyNumberFormat="1" applyFont="1" applyBorder="1" applyAlignment="1" applyProtection="1">
      <alignment horizontal="center"/>
      <protection hidden="1"/>
    </xf>
    <xf numFmtId="0" fontId="103" fillId="0" borderId="58" xfId="6" applyFont="1" applyBorder="1" applyProtection="1">
      <protection hidden="1"/>
    </xf>
    <xf numFmtId="0" fontId="1" fillId="10" borderId="0" xfId="6" applyFont="1" applyFill="1" applyProtection="1">
      <protection hidden="1"/>
    </xf>
    <xf numFmtId="1" fontId="5" fillId="11" borderId="124" xfId="6" applyNumberFormat="1" applyFont="1" applyFill="1" applyBorder="1" applyProtection="1">
      <protection hidden="1"/>
    </xf>
    <xf numFmtId="0" fontId="104" fillId="0" borderId="58" xfId="6" applyFont="1" applyBorder="1" applyProtection="1">
      <protection hidden="1"/>
    </xf>
    <xf numFmtId="1" fontId="5" fillId="0" borderId="10" xfId="6" applyNumberFormat="1" applyFont="1" applyBorder="1" applyProtection="1">
      <protection hidden="1"/>
    </xf>
    <xf numFmtId="0" fontId="5" fillId="10" borderId="0" xfId="6" applyFont="1" applyFill="1" applyProtection="1">
      <protection hidden="1"/>
    </xf>
    <xf numFmtId="0" fontId="5" fillId="10" borderId="191" xfId="2" applyFont="1" applyFill="1" applyBorder="1" applyAlignment="1" applyProtection="1">
      <alignment horizontal="center"/>
      <protection hidden="1"/>
    </xf>
    <xf numFmtId="0" fontId="5" fillId="10" borderId="159" xfId="2" applyFont="1" applyFill="1" applyBorder="1" applyAlignment="1" applyProtection="1">
      <alignment horizontal="center"/>
      <protection hidden="1"/>
    </xf>
    <xf numFmtId="0" fontId="106" fillId="0" borderId="58" xfId="6" applyFont="1" applyBorder="1" applyProtection="1">
      <protection hidden="1"/>
    </xf>
    <xf numFmtId="0" fontId="5" fillId="13" borderId="191" xfId="2" applyNumberFormat="1" applyFont="1" applyFill="1" applyBorder="1" applyAlignment="1" applyProtection="1">
      <alignment horizontal="center"/>
      <protection locked="0"/>
    </xf>
    <xf numFmtId="0" fontId="5" fillId="13" borderId="159" xfId="2" applyNumberFormat="1" applyFont="1" applyFill="1" applyBorder="1" applyAlignment="1" applyProtection="1">
      <alignment horizontal="center"/>
      <protection locked="0"/>
    </xf>
    <xf numFmtId="0" fontId="106" fillId="0" borderId="192" xfId="6" applyFont="1" applyBorder="1" applyProtection="1">
      <protection hidden="1"/>
    </xf>
    <xf numFmtId="2" fontId="5" fillId="3" borderId="115" xfId="2" applyNumberFormat="1" applyFill="1" applyBorder="1" applyAlignment="1" applyProtection="1">
      <alignment horizontal="center"/>
      <protection hidden="1"/>
    </xf>
    <xf numFmtId="0" fontId="9" fillId="4" borderId="0" xfId="6" applyFont="1" applyFill="1" applyProtection="1">
      <protection hidden="1"/>
    </xf>
    <xf numFmtId="0" fontId="5" fillId="0" borderId="30" xfId="6" applyFont="1" applyBorder="1" applyAlignment="1" applyProtection="1">
      <alignment wrapText="1"/>
      <protection hidden="1"/>
    </xf>
    <xf numFmtId="0" fontId="9" fillId="3" borderId="0" xfId="6" applyFont="1" applyFill="1" applyAlignment="1" applyProtection="1">
      <protection hidden="1"/>
    </xf>
    <xf numFmtId="0" fontId="108" fillId="0" borderId="0" xfId="6" applyFont="1" applyProtection="1">
      <protection hidden="1"/>
    </xf>
    <xf numFmtId="2" fontId="5" fillId="0" borderId="0" xfId="6" applyNumberFormat="1" applyFont="1" applyProtection="1">
      <protection hidden="1"/>
    </xf>
    <xf numFmtId="0" fontId="27" fillId="4" borderId="180" xfId="3" applyFont="1" applyFill="1" applyBorder="1" applyAlignment="1" applyProtection="1">
      <protection hidden="1"/>
    </xf>
    <xf numFmtId="0" fontId="9" fillId="3" borderId="0" xfId="6" applyFont="1" applyFill="1" applyBorder="1" applyAlignment="1" applyProtection="1">
      <protection hidden="1"/>
    </xf>
    <xf numFmtId="0" fontId="5" fillId="0" borderId="0" xfId="6" applyFont="1" applyAlignment="1" applyProtection="1">
      <alignment horizontal="right"/>
      <protection hidden="1"/>
    </xf>
    <xf numFmtId="165" fontId="5" fillId="0" borderId="0" xfId="6" applyNumberFormat="1" applyFont="1" applyProtection="1">
      <protection hidden="1"/>
    </xf>
    <xf numFmtId="164" fontId="1" fillId="3" borderId="0" xfId="6" applyNumberFormat="1" applyFont="1" applyFill="1" applyProtection="1">
      <protection hidden="1"/>
    </xf>
    <xf numFmtId="0" fontId="5" fillId="0" borderId="0" xfId="6" applyFont="1" applyFill="1" applyProtection="1">
      <protection hidden="1"/>
    </xf>
    <xf numFmtId="0" fontId="108" fillId="0" borderId="0" xfId="6" applyFont="1" applyFill="1" applyProtection="1">
      <protection hidden="1"/>
    </xf>
    <xf numFmtId="0" fontId="1" fillId="0" borderId="0" xfId="6" applyFont="1" applyFill="1" applyProtection="1">
      <protection hidden="1"/>
    </xf>
    <xf numFmtId="0" fontId="5" fillId="0" borderId="0" xfId="6" applyFont="1" applyFill="1" applyAlignment="1" applyProtection="1">
      <alignment horizontal="right"/>
      <protection hidden="1"/>
    </xf>
    <xf numFmtId="2" fontId="5" fillId="0" borderId="0" xfId="2" applyNumberFormat="1" applyFill="1" applyProtection="1">
      <protection hidden="1"/>
    </xf>
    <xf numFmtId="2" fontId="5" fillId="0" borderId="0" xfId="6" applyNumberFormat="1" applyFont="1" applyFill="1" applyProtection="1">
      <protection hidden="1"/>
    </xf>
    <xf numFmtId="165" fontId="5" fillId="0" borderId="0" xfId="6" applyNumberFormat="1" applyFont="1" applyFill="1" applyProtection="1">
      <protection hidden="1"/>
    </xf>
    <xf numFmtId="0" fontId="5" fillId="0" borderId="0" xfId="6" applyFont="1" applyFill="1" applyAlignment="1" applyProtection="1">
      <alignment horizontal="center"/>
      <protection hidden="1"/>
    </xf>
    <xf numFmtId="0" fontId="5" fillId="2" borderId="0" xfId="6" applyFont="1" applyFill="1" applyBorder="1" applyAlignment="1" applyProtection="1">
      <alignment vertical="top" wrapText="1"/>
      <protection hidden="1"/>
    </xf>
    <xf numFmtId="0" fontId="5" fillId="0" borderId="0" xfId="2" applyFill="1" applyAlignment="1" applyProtection="1">
      <alignment horizontal="right"/>
      <protection hidden="1"/>
    </xf>
    <xf numFmtId="2" fontId="5" fillId="0" borderId="0" xfId="288" applyNumberFormat="1" applyFont="1" applyFill="1" applyProtection="1">
      <protection hidden="1"/>
    </xf>
    <xf numFmtId="0" fontId="5" fillId="0" borderId="0" xfId="288" applyFont="1" applyFill="1" applyProtection="1">
      <protection hidden="1"/>
    </xf>
    <xf numFmtId="166" fontId="5" fillId="0" borderId="0" xfId="6" applyNumberFormat="1" applyFont="1" applyFill="1" applyProtection="1">
      <protection hidden="1"/>
    </xf>
    <xf numFmtId="166" fontId="5" fillId="0" borderId="0" xfId="288" applyNumberFormat="1" applyFont="1" applyFill="1" applyProtection="1">
      <protection hidden="1"/>
    </xf>
    <xf numFmtId="0" fontId="9" fillId="0" borderId="0" xfId="2" applyFont="1" applyFill="1" applyAlignment="1" applyProtection="1">
      <alignment horizontal="right"/>
      <protection hidden="1"/>
    </xf>
    <xf numFmtId="0" fontId="5" fillId="4" borderId="10" xfId="6" applyFont="1" applyFill="1" applyBorder="1" applyAlignment="1" applyProtection="1">
      <alignment horizontal="left"/>
      <protection hidden="1"/>
    </xf>
    <xf numFmtId="0" fontId="9" fillId="0" borderId="0" xfId="2" applyFont="1" applyFill="1" applyProtection="1">
      <protection hidden="1"/>
    </xf>
    <xf numFmtId="166" fontId="9" fillId="0" borderId="0" xfId="6" applyNumberFormat="1" applyFont="1" applyFill="1" applyProtection="1">
      <protection hidden="1"/>
    </xf>
    <xf numFmtId="0" fontId="5" fillId="4" borderId="10" xfId="6" applyFont="1" applyFill="1" applyBorder="1" applyProtection="1">
      <protection hidden="1"/>
    </xf>
    <xf numFmtId="0" fontId="5" fillId="4" borderId="24" xfId="6" applyFont="1" applyFill="1" applyBorder="1" applyProtection="1">
      <protection hidden="1"/>
    </xf>
    <xf numFmtId="0" fontId="5" fillId="14" borderId="10" xfId="6" applyFont="1" applyFill="1" applyBorder="1" applyAlignment="1" applyProtection="1">
      <alignment horizontal="left"/>
      <protection hidden="1"/>
    </xf>
    <xf numFmtId="0" fontId="154" fillId="0" borderId="181" xfId="6" applyFont="1" applyBorder="1" applyAlignment="1" applyProtection="1">
      <alignment horizontal="right"/>
      <protection hidden="1"/>
    </xf>
    <xf numFmtId="166" fontId="32" fillId="0" borderId="199" xfId="6" applyNumberFormat="1" applyFont="1" applyBorder="1" applyAlignment="1" applyProtection="1">
      <alignment horizontal="left"/>
      <protection hidden="1"/>
    </xf>
    <xf numFmtId="0" fontId="14" fillId="4" borderId="198" xfId="6" applyFont="1" applyFill="1" applyBorder="1" applyProtection="1">
      <protection hidden="1"/>
    </xf>
    <xf numFmtId="0" fontId="32" fillId="0" borderId="10" xfId="6" applyFont="1" applyBorder="1" applyAlignment="1" applyProtection="1">
      <alignment horizontal="right"/>
      <protection hidden="1"/>
    </xf>
    <xf numFmtId="0" fontId="5" fillId="0" borderId="50" xfId="6" applyFont="1" applyBorder="1" applyProtection="1">
      <protection hidden="1"/>
    </xf>
    <xf numFmtId="0" fontId="14" fillId="4" borderId="52" xfId="6" applyFont="1" applyFill="1" applyBorder="1" applyProtection="1">
      <protection hidden="1"/>
    </xf>
    <xf numFmtId="0" fontId="47" fillId="0" borderId="0" xfId="6" applyFont="1" applyFill="1" applyAlignment="1" applyProtection="1">
      <alignment horizontal="center"/>
      <protection hidden="1"/>
    </xf>
    <xf numFmtId="0" fontId="14" fillId="0" borderId="115" xfId="6" applyFont="1" applyBorder="1" applyProtection="1">
      <protection hidden="1"/>
    </xf>
    <xf numFmtId="0" fontId="154" fillId="0" borderId="202" xfId="6" applyFont="1" applyBorder="1" applyAlignment="1" applyProtection="1">
      <alignment horizontal="right"/>
      <protection hidden="1"/>
    </xf>
    <xf numFmtId="0" fontId="44" fillId="47" borderId="56" xfId="6" applyFont="1" applyFill="1" applyBorder="1" applyProtection="1">
      <protection hidden="1"/>
    </xf>
    <xf numFmtId="1" fontId="5" fillId="0" borderId="0" xfId="6" applyNumberFormat="1" applyFont="1" applyFill="1" applyProtection="1">
      <protection hidden="1"/>
    </xf>
    <xf numFmtId="0" fontId="95" fillId="0" borderId="207" xfId="6" applyFont="1" applyBorder="1" applyProtection="1">
      <protection hidden="1"/>
    </xf>
    <xf numFmtId="0" fontId="95" fillId="0" borderId="183" xfId="6" applyFont="1" applyBorder="1" applyProtection="1">
      <protection hidden="1"/>
    </xf>
    <xf numFmtId="165" fontId="9" fillId="0" borderId="0" xfId="2" applyNumberFormat="1" applyFont="1" applyFill="1" applyAlignment="1" applyProtection="1">
      <alignment horizontal="left"/>
      <protection hidden="1"/>
    </xf>
    <xf numFmtId="1" fontId="5" fillId="0" borderId="10" xfId="6" applyNumberFormat="1" applyFont="1" applyFill="1" applyBorder="1" applyProtection="1">
      <protection hidden="1"/>
    </xf>
    <xf numFmtId="0" fontId="5" fillId="0" borderId="21" xfId="6" applyFont="1" applyFill="1" applyBorder="1" applyProtection="1">
      <protection hidden="1"/>
    </xf>
    <xf numFmtId="0" fontId="95" fillId="0" borderId="211" xfId="6" applyFont="1" applyBorder="1" applyProtection="1">
      <protection hidden="1"/>
    </xf>
    <xf numFmtId="0" fontId="95" fillId="0" borderId="21" xfId="6" applyFont="1" applyBorder="1" applyProtection="1">
      <protection hidden="1"/>
    </xf>
    <xf numFmtId="0" fontId="156" fillId="0" borderId="211" xfId="6" applyFont="1" applyBorder="1" applyProtection="1">
      <protection hidden="1"/>
    </xf>
    <xf numFmtId="0" fontId="103" fillId="0" borderId="21" xfId="6" applyFont="1" applyBorder="1" applyProtection="1">
      <protection hidden="1"/>
    </xf>
    <xf numFmtId="0" fontId="104" fillId="0" borderId="211" xfId="6" applyFont="1" applyBorder="1" applyProtection="1">
      <protection hidden="1"/>
    </xf>
    <xf numFmtId="0" fontId="104" fillId="0" borderId="21" xfId="6" applyFont="1" applyBorder="1" applyProtection="1">
      <protection hidden="1"/>
    </xf>
    <xf numFmtId="0" fontId="157" fillId="0" borderId="0" xfId="6" applyFont="1" applyFill="1" applyProtection="1">
      <protection hidden="1"/>
    </xf>
    <xf numFmtId="0" fontId="106" fillId="0" borderId="211" xfId="6" applyFont="1" applyBorder="1" applyProtection="1">
      <protection hidden="1"/>
    </xf>
    <xf numFmtId="0" fontId="106" fillId="0" borderId="21" xfId="6" applyFont="1" applyBorder="1" applyProtection="1">
      <protection hidden="1"/>
    </xf>
    <xf numFmtId="0" fontId="106" fillId="0" borderId="213" xfId="6" applyFont="1" applyBorder="1" applyProtection="1">
      <protection hidden="1"/>
    </xf>
    <xf numFmtId="0" fontId="108" fillId="0" borderId="21" xfId="6" applyFont="1" applyFill="1" applyBorder="1" applyProtection="1">
      <protection hidden="1"/>
    </xf>
    <xf numFmtId="0" fontId="1" fillId="3" borderId="0" xfId="6" applyFont="1" applyFill="1" applyAlignment="1" applyProtection="1">
      <alignment vertical="center"/>
      <protection hidden="1"/>
    </xf>
    <xf numFmtId="0" fontId="5" fillId="0" borderId="10" xfId="6" applyFont="1" applyBorder="1" applyProtection="1">
      <protection hidden="1"/>
    </xf>
    <xf numFmtId="0" fontId="9" fillId="0" borderId="217" xfId="6" applyFont="1" applyBorder="1" applyProtection="1">
      <protection hidden="1"/>
    </xf>
    <xf numFmtId="2" fontId="1" fillId="0" borderId="0" xfId="6" applyNumberFormat="1" applyFont="1" applyProtection="1">
      <protection hidden="1"/>
    </xf>
    <xf numFmtId="0" fontId="157" fillId="0" borderId="0" xfId="6" applyFont="1" applyProtection="1">
      <protection hidden="1"/>
    </xf>
    <xf numFmtId="0" fontId="15" fillId="0" borderId="221" xfId="3" applyFont="1" applyBorder="1" applyAlignment="1" applyProtection="1">
      <protection hidden="1"/>
    </xf>
    <xf numFmtId="0" fontId="9" fillId="4" borderId="0" xfId="6" applyFont="1" applyFill="1" applyAlignment="1" applyProtection="1">
      <protection hidden="1"/>
    </xf>
    <xf numFmtId="0" fontId="121" fillId="4" borderId="0" xfId="6" applyFont="1" applyFill="1" applyBorder="1" applyAlignment="1" applyProtection="1">
      <protection hidden="1"/>
    </xf>
    <xf numFmtId="2" fontId="5" fillId="0" borderId="0" xfId="2" applyNumberFormat="1" applyFont="1" applyProtection="1">
      <protection hidden="1"/>
    </xf>
    <xf numFmtId="0" fontId="121" fillId="4" borderId="0" xfId="6" applyFont="1" applyFill="1" applyAlignment="1" applyProtection="1">
      <alignment horizontal="left" vertical="center"/>
      <protection hidden="1"/>
    </xf>
    <xf numFmtId="0" fontId="5" fillId="4" borderId="0" xfId="6" applyFont="1" applyFill="1" applyAlignment="1" applyProtection="1">
      <alignment horizontal="left" vertical="center"/>
      <protection hidden="1"/>
    </xf>
    <xf numFmtId="0" fontId="105" fillId="4" borderId="0" xfId="6" applyFont="1" applyFill="1" applyAlignment="1" applyProtection="1">
      <alignment horizontal="left" vertical="center"/>
      <protection hidden="1"/>
    </xf>
    <xf numFmtId="0" fontId="1" fillId="4" borderId="0" xfId="6" applyFont="1" applyFill="1" applyAlignment="1" applyProtection="1">
      <alignment horizontal="left" vertical="center"/>
      <protection hidden="1"/>
    </xf>
    <xf numFmtId="2" fontId="5" fillId="0" borderId="0" xfId="288" applyNumberFormat="1" applyFont="1" applyProtection="1">
      <protection hidden="1"/>
    </xf>
    <xf numFmtId="0" fontId="5" fillId="0" borderId="0" xfId="288" applyFont="1" applyProtection="1">
      <protection hidden="1"/>
    </xf>
    <xf numFmtId="0" fontId="120" fillId="4" borderId="0" xfId="6" applyFont="1" applyFill="1" applyAlignment="1" applyProtection="1">
      <alignment horizontal="left" vertical="center"/>
      <protection hidden="1"/>
    </xf>
    <xf numFmtId="0" fontId="47" fillId="4" borderId="0" xfId="6" applyFont="1" applyFill="1" applyAlignment="1" applyProtection="1">
      <alignment horizontal="left" vertical="center"/>
      <protection hidden="1"/>
    </xf>
    <xf numFmtId="166" fontId="5" fillId="0" borderId="0" xfId="6" applyNumberFormat="1" applyFont="1" applyProtection="1">
      <protection hidden="1"/>
    </xf>
    <xf numFmtId="0" fontId="9" fillId="0" borderId="0" xfId="2" applyFont="1" applyAlignment="1" applyProtection="1">
      <alignment horizontal="right"/>
      <protection hidden="1"/>
    </xf>
    <xf numFmtId="0" fontId="5" fillId="0" borderId="56" xfId="6" applyFont="1" applyBorder="1" applyProtection="1">
      <protection hidden="1"/>
    </xf>
    <xf numFmtId="0" fontId="32" fillId="0" borderId="55" xfId="6" applyFont="1" applyBorder="1" applyAlignment="1" applyProtection="1">
      <alignment horizontal="right"/>
      <protection hidden="1"/>
    </xf>
    <xf numFmtId="0" fontId="121" fillId="4" borderId="0" xfId="6" applyFont="1" applyFill="1" applyAlignment="1" applyProtection="1">
      <alignment vertical="top"/>
      <protection hidden="1"/>
    </xf>
    <xf numFmtId="0" fontId="121" fillId="4" borderId="0" xfId="6" applyFont="1" applyFill="1" applyAlignment="1" applyProtection="1">
      <alignment horizontal="left"/>
      <protection hidden="1"/>
    </xf>
    <xf numFmtId="0" fontId="78" fillId="3" borderId="0" xfId="6" applyFont="1" applyFill="1" applyAlignment="1" applyProtection="1">
      <alignment horizontal="right" vertical="center"/>
      <protection hidden="1"/>
    </xf>
    <xf numFmtId="164" fontId="5" fillId="4" borderId="225" xfId="6" applyNumberFormat="1" applyFont="1" applyFill="1" applyBorder="1" applyProtection="1">
      <protection hidden="1"/>
    </xf>
    <xf numFmtId="1" fontId="78" fillId="3" borderId="0" xfId="6" applyNumberFormat="1" applyFont="1" applyFill="1" applyAlignment="1" applyProtection="1">
      <alignment vertical="center"/>
      <protection hidden="1"/>
    </xf>
    <xf numFmtId="0" fontId="47" fillId="3" borderId="0" xfId="6" applyFont="1" applyFill="1" applyAlignment="1" applyProtection="1">
      <alignment horizontal="right" vertical="center"/>
      <protection hidden="1"/>
    </xf>
    <xf numFmtId="165" fontId="9" fillId="0" borderId="0" xfId="2" applyNumberFormat="1" applyFont="1" applyAlignment="1" applyProtection="1">
      <alignment horizontal="left"/>
      <protection hidden="1"/>
    </xf>
    <xf numFmtId="0" fontId="5" fillId="0" borderId="21" xfId="6" applyFont="1" applyBorder="1" applyProtection="1">
      <protection hidden="1"/>
    </xf>
    <xf numFmtId="0" fontId="121" fillId="4" borderId="0" xfId="6" applyFont="1" applyFill="1" applyAlignment="1" applyProtection="1">
      <protection hidden="1"/>
    </xf>
    <xf numFmtId="0" fontId="103" fillId="0" borderId="232" xfId="6" applyFont="1" applyBorder="1" applyProtection="1">
      <protection hidden="1"/>
    </xf>
    <xf numFmtId="0" fontId="104" fillId="0" borderId="232" xfId="6" applyFont="1" applyBorder="1" applyProtection="1">
      <protection hidden="1"/>
    </xf>
    <xf numFmtId="0" fontId="120" fillId="4" borderId="0" xfId="6" applyFont="1" applyFill="1" applyAlignment="1" applyProtection="1">
      <alignment vertical="center"/>
      <protection hidden="1"/>
    </xf>
    <xf numFmtId="0" fontId="106" fillId="0" borderId="232" xfId="2" applyFont="1" applyBorder="1" applyProtection="1">
      <protection hidden="1"/>
    </xf>
    <xf numFmtId="0" fontId="106" fillId="0" borderId="232" xfId="6" applyFont="1" applyBorder="1" applyProtection="1">
      <protection hidden="1"/>
    </xf>
    <xf numFmtId="0" fontId="106" fillId="0" borderId="234" xfId="6" applyFont="1" applyBorder="1" applyProtection="1">
      <protection hidden="1"/>
    </xf>
    <xf numFmtId="0" fontId="106" fillId="0" borderId="38" xfId="6" applyFont="1" applyBorder="1" applyProtection="1">
      <protection hidden="1"/>
    </xf>
    <xf numFmtId="0" fontId="47" fillId="4" borderId="0" xfId="6" applyFont="1" applyFill="1" applyAlignment="1" applyProtection="1">
      <alignment horizontal="left" wrapText="1"/>
      <protection hidden="1"/>
    </xf>
    <xf numFmtId="0" fontId="47" fillId="4" borderId="0" xfId="6" applyFont="1" applyFill="1" applyAlignment="1" applyProtection="1">
      <alignment horizontal="left" vertical="top" wrapText="1"/>
      <protection hidden="1"/>
    </xf>
    <xf numFmtId="0" fontId="47" fillId="4" borderId="0" xfId="6" applyFont="1" applyFill="1" applyAlignment="1" applyProtection="1">
      <alignment horizontal="center" vertical="top" wrapText="1"/>
      <protection hidden="1"/>
    </xf>
    <xf numFmtId="9" fontId="161" fillId="3" borderId="0" xfId="6" applyNumberFormat="1" applyFont="1" applyFill="1" applyAlignment="1" applyProtection="1">
      <alignment vertical="center"/>
      <protection hidden="1"/>
    </xf>
    <xf numFmtId="0" fontId="52" fillId="0" borderId="236" xfId="6" applyFont="1" applyBorder="1" applyProtection="1">
      <protection hidden="1"/>
    </xf>
    <xf numFmtId="0" fontId="52" fillId="0" borderId="141" xfId="6" applyFont="1" applyBorder="1" applyProtection="1">
      <protection hidden="1"/>
    </xf>
    <xf numFmtId="0" fontId="152" fillId="0" borderId="232" xfId="3" applyFont="1" applyBorder="1" applyAlignment="1" applyProtection="1">
      <protection hidden="1"/>
    </xf>
    <xf numFmtId="0" fontId="152" fillId="0" borderId="58" xfId="3" applyFont="1" applyBorder="1" applyAlignment="1" applyProtection="1">
      <protection hidden="1"/>
    </xf>
    <xf numFmtId="9" fontId="158" fillId="3" borderId="0" xfId="6" applyNumberFormat="1" applyFont="1" applyFill="1" applyAlignment="1" applyProtection="1">
      <alignment vertical="center"/>
      <protection hidden="1"/>
    </xf>
    <xf numFmtId="0" fontId="27" fillId="4" borderId="158" xfId="3" applyFont="1" applyFill="1" applyBorder="1" applyAlignment="1" applyProtection="1">
      <protection hidden="1"/>
    </xf>
    <xf numFmtId="0" fontId="47" fillId="4" borderId="0" xfId="6" applyFont="1" applyFill="1" applyAlignment="1" applyProtection="1">
      <alignment vertical="top" wrapText="1"/>
      <protection hidden="1"/>
    </xf>
    <xf numFmtId="0" fontId="47" fillId="2" borderId="0" xfId="6" applyFont="1" applyFill="1" applyAlignment="1" applyProtection="1">
      <alignment wrapText="1"/>
      <protection hidden="1"/>
    </xf>
    <xf numFmtId="0" fontId="47" fillId="0" borderId="0" xfId="6" applyFont="1" applyFill="1" applyAlignment="1" applyProtection="1">
      <alignment wrapText="1"/>
      <protection hidden="1"/>
    </xf>
    <xf numFmtId="0" fontId="149" fillId="10" borderId="21" xfId="6" applyFont="1" applyFill="1" applyBorder="1" applyAlignment="1" applyProtection="1">
      <alignment vertical="top" wrapText="1"/>
      <protection hidden="1"/>
    </xf>
    <xf numFmtId="1" fontId="5" fillId="4" borderId="247" xfId="6" applyNumberFormat="1" applyFont="1" applyFill="1" applyBorder="1" applyProtection="1">
      <protection hidden="1"/>
    </xf>
    <xf numFmtId="1" fontId="26" fillId="4" borderId="248" xfId="6" applyNumberFormat="1" applyFont="1" applyFill="1" applyBorder="1" applyProtection="1">
      <protection hidden="1"/>
    </xf>
    <xf numFmtId="164" fontId="5" fillId="4" borderId="247" xfId="6" applyNumberFormat="1" applyFont="1" applyFill="1" applyBorder="1" applyProtection="1">
      <protection hidden="1"/>
    </xf>
    <xf numFmtId="0" fontId="5" fillId="0" borderId="226" xfId="6" applyFont="1" applyBorder="1" applyAlignment="1" applyProtection="1">
      <alignment horizontal="left"/>
      <protection hidden="1"/>
    </xf>
    <xf numFmtId="164" fontId="5" fillId="4" borderId="247" xfId="2" applyNumberFormat="1" applyFill="1" applyBorder="1" applyAlignment="1" applyProtection="1">
      <alignment horizontal="right"/>
      <protection hidden="1"/>
    </xf>
    <xf numFmtId="164" fontId="5" fillId="4" borderId="250" xfId="6" applyNumberFormat="1" applyFont="1" applyFill="1" applyBorder="1" applyProtection="1">
      <protection hidden="1"/>
    </xf>
    <xf numFmtId="0" fontId="149" fillId="10" borderId="20" xfId="6" applyFont="1" applyFill="1" applyBorder="1" applyAlignment="1" applyProtection="1">
      <alignment vertical="top" wrapText="1"/>
      <protection hidden="1"/>
    </xf>
    <xf numFmtId="0" fontId="5" fillId="0" borderId="10" xfId="6" applyFont="1" applyBorder="1" applyAlignment="1" applyProtection="1">
      <alignment horizontal="center"/>
      <protection hidden="1"/>
    </xf>
    <xf numFmtId="0" fontId="51" fillId="0" borderId="10" xfId="6" applyFont="1" applyBorder="1" applyAlignment="1" applyProtection="1">
      <alignment horizontal="center"/>
      <protection hidden="1"/>
    </xf>
    <xf numFmtId="0" fontId="168" fillId="4" borderId="52" xfId="6" applyFont="1" applyFill="1" applyBorder="1" applyProtection="1">
      <protection hidden="1"/>
    </xf>
    <xf numFmtId="0" fontId="1" fillId="0" borderId="10" xfId="6" applyFont="1" applyBorder="1" applyProtection="1">
      <protection hidden="1"/>
    </xf>
    <xf numFmtId="0" fontId="158" fillId="4" borderId="0" xfId="6" applyFont="1" applyFill="1" applyBorder="1" applyAlignment="1" applyProtection="1">
      <alignment vertical="top"/>
      <protection hidden="1"/>
    </xf>
    <xf numFmtId="0" fontId="66" fillId="3" borderId="0" xfId="6" applyFont="1" applyFill="1" applyAlignment="1" applyProtection="1">
      <alignment vertical="center"/>
      <protection hidden="1"/>
    </xf>
    <xf numFmtId="0" fontId="66" fillId="3" borderId="0" xfId="6" applyFont="1" applyFill="1" applyAlignment="1" applyProtection="1">
      <alignment horizontal="right" vertical="center"/>
      <protection hidden="1"/>
    </xf>
    <xf numFmtId="0" fontId="51" fillId="0" borderId="217" xfId="6" applyFont="1" applyBorder="1" applyProtection="1">
      <protection hidden="1"/>
    </xf>
    <xf numFmtId="0" fontId="9" fillId="3" borderId="0" xfId="6" applyFont="1" applyFill="1" applyAlignment="1" applyProtection="1">
      <alignment wrapText="1"/>
      <protection hidden="1"/>
    </xf>
    <xf numFmtId="0" fontId="5" fillId="10" borderId="0" xfId="6" applyFont="1" applyFill="1" applyAlignment="1" applyProtection="1">
      <alignment wrapText="1"/>
      <protection hidden="1"/>
    </xf>
    <xf numFmtId="0" fontId="26" fillId="0" borderId="0" xfId="6" applyFont="1" applyAlignment="1" applyProtection="1">
      <alignment horizontal="left"/>
      <protection hidden="1"/>
    </xf>
    <xf numFmtId="0" fontId="26" fillId="0" borderId="0" xfId="6" applyFont="1" applyAlignment="1" applyProtection="1">
      <alignment horizontal="center"/>
      <protection hidden="1"/>
    </xf>
    <xf numFmtId="0" fontId="26" fillId="0" borderId="10" xfId="6" applyFont="1" applyBorder="1" applyAlignment="1" applyProtection="1">
      <alignment horizontal="left"/>
      <protection hidden="1"/>
    </xf>
    <xf numFmtId="0" fontId="47" fillId="0" borderId="10" xfId="6" applyFont="1" applyBorder="1" applyAlignment="1" applyProtection="1">
      <alignment horizontal="center"/>
      <protection hidden="1"/>
    </xf>
    <xf numFmtId="0" fontId="26" fillId="0" borderId="17" xfId="6" applyFont="1" applyBorder="1" applyAlignment="1" applyProtection="1">
      <alignment horizontal="right"/>
      <protection hidden="1"/>
    </xf>
    <xf numFmtId="0" fontId="52" fillId="4" borderId="16" xfId="6" applyFont="1" applyFill="1" applyBorder="1" applyAlignment="1" applyProtection="1">
      <alignment horizontal="right"/>
      <protection hidden="1"/>
    </xf>
    <xf numFmtId="0" fontId="5" fillId="0" borderId="273" xfId="6" applyFont="1" applyBorder="1" applyAlignment="1" applyProtection="1">
      <alignment horizontal="right"/>
      <protection hidden="1"/>
    </xf>
    <xf numFmtId="0" fontId="14" fillId="4" borderId="115" xfId="6" applyFont="1" applyFill="1" applyBorder="1" applyProtection="1">
      <protection hidden="1"/>
    </xf>
    <xf numFmtId="0" fontId="95" fillId="0" borderId="178" xfId="6" applyFont="1" applyBorder="1" applyProtection="1">
      <protection hidden="1"/>
    </xf>
    <xf numFmtId="2" fontId="9" fillId="0" borderId="0" xfId="2" applyNumberFormat="1" applyFont="1" applyAlignment="1" applyProtection="1">
      <alignment horizontal="left"/>
      <protection hidden="1"/>
    </xf>
    <xf numFmtId="0" fontId="95" fillId="0" borderId="0" xfId="6" applyFont="1" applyBorder="1" applyProtection="1">
      <protection hidden="1"/>
    </xf>
    <xf numFmtId="0" fontId="103" fillId="0" borderId="0" xfId="6" applyFont="1" applyBorder="1" applyProtection="1">
      <protection hidden="1"/>
    </xf>
    <xf numFmtId="0" fontId="104" fillId="0" borderId="0" xfId="6" applyFont="1" applyBorder="1" applyProtection="1">
      <protection hidden="1"/>
    </xf>
    <xf numFmtId="0" fontId="106" fillId="0" borderId="0" xfId="6" applyFont="1" applyBorder="1" applyProtection="1">
      <protection hidden="1"/>
    </xf>
    <xf numFmtId="164" fontId="5" fillId="0" borderId="0" xfId="6" applyNumberFormat="1" applyFont="1" applyProtection="1">
      <protection hidden="1"/>
    </xf>
    <xf numFmtId="1" fontId="5" fillId="0" borderId="272" xfId="6" applyNumberFormat="1" applyFont="1" applyBorder="1" applyProtection="1">
      <protection hidden="1"/>
    </xf>
    <xf numFmtId="1" fontId="5" fillId="0" borderId="21" xfId="6" applyNumberFormat="1" applyFont="1" applyBorder="1" applyProtection="1">
      <protection hidden="1"/>
    </xf>
    <xf numFmtId="1" fontId="5" fillId="0" borderId="0" xfId="6" applyNumberFormat="1" applyFont="1" applyBorder="1" applyProtection="1">
      <protection hidden="1"/>
    </xf>
    <xf numFmtId="164" fontId="5" fillId="0" borderId="271" xfId="6" applyNumberFormat="1" applyFont="1" applyBorder="1" applyProtection="1">
      <protection hidden="1"/>
    </xf>
    <xf numFmtId="164" fontId="5" fillId="0" borderId="282" xfId="6" applyNumberFormat="1" applyFont="1" applyBorder="1" applyProtection="1">
      <protection hidden="1"/>
    </xf>
    <xf numFmtId="164" fontId="63" fillId="0" borderId="17" xfId="6" applyNumberFormat="1" applyFont="1" applyBorder="1" applyProtection="1">
      <protection hidden="1"/>
    </xf>
    <xf numFmtId="0" fontId="152" fillId="0" borderId="284" xfId="3" applyFont="1" applyBorder="1" applyAlignment="1" applyProtection="1">
      <protection hidden="1"/>
    </xf>
    <xf numFmtId="164" fontId="5" fillId="14" borderId="181" xfId="6" applyNumberFormat="1" applyFont="1" applyFill="1" applyBorder="1" applyProtection="1">
      <protection hidden="1"/>
    </xf>
    <xf numFmtId="164" fontId="5" fillId="14" borderId="270" xfId="6" applyNumberFormat="1" applyFont="1" applyFill="1" applyBorder="1" applyProtection="1">
      <protection hidden="1"/>
    </xf>
    <xf numFmtId="164" fontId="5" fillId="14" borderId="183" xfId="6" applyNumberFormat="1" applyFont="1" applyFill="1" applyBorder="1" applyProtection="1">
      <protection hidden="1"/>
    </xf>
    <xf numFmtId="0" fontId="5" fillId="0" borderId="285" xfId="6" applyFont="1" applyBorder="1" applyAlignment="1" applyProtection="1">
      <alignment wrapText="1"/>
      <protection hidden="1"/>
    </xf>
    <xf numFmtId="2" fontId="5" fillId="0" borderId="0" xfId="2" applyNumberFormat="1" applyFont="1" applyFill="1" applyProtection="1">
      <protection hidden="1"/>
    </xf>
    <xf numFmtId="2" fontId="1" fillId="0" borderId="0" xfId="6" applyNumberFormat="1" applyFont="1" applyFill="1" applyProtection="1">
      <protection hidden="1"/>
    </xf>
    <xf numFmtId="0" fontId="1" fillId="0" borderId="0" xfId="6" applyFont="1" applyFill="1" applyAlignment="1" applyProtection="1">
      <protection hidden="1"/>
    </xf>
    <xf numFmtId="2" fontId="5" fillId="0" borderId="0" xfId="288" applyNumberFormat="1" applyFont="1" applyFill="1" applyAlignment="1" applyProtection="1">
      <protection hidden="1"/>
    </xf>
    <xf numFmtId="164" fontId="5" fillId="2" borderId="0" xfId="6" applyNumberFormat="1" applyFont="1" applyFill="1" applyAlignment="1" applyProtection="1">
      <alignment vertical="top" wrapText="1"/>
      <protection hidden="1"/>
    </xf>
    <xf numFmtId="0" fontId="44" fillId="0" borderId="0" xfId="2" applyFont="1" applyFill="1" applyAlignment="1" applyProtection="1">
      <alignment horizontal="left"/>
      <protection hidden="1"/>
    </xf>
    <xf numFmtId="1" fontId="44" fillId="0" borderId="0" xfId="2" applyNumberFormat="1" applyFont="1" applyFill="1" applyAlignment="1" applyProtection="1">
      <alignment horizontal="left"/>
      <protection hidden="1"/>
    </xf>
    <xf numFmtId="0" fontId="44" fillId="0" borderId="0" xfId="2" applyFont="1" applyFill="1" applyProtection="1">
      <protection hidden="1"/>
    </xf>
    <xf numFmtId="0" fontId="174" fillId="0" borderId="0" xfId="6" applyFont="1" applyFill="1" applyProtection="1">
      <protection hidden="1"/>
    </xf>
    <xf numFmtId="164" fontId="5" fillId="2" borderId="0" xfId="6" applyNumberFormat="1" applyFont="1" applyFill="1" applyAlignment="1" applyProtection="1">
      <alignment wrapText="1"/>
      <protection hidden="1"/>
    </xf>
    <xf numFmtId="164" fontId="5" fillId="0" borderId="0" xfId="6" applyNumberFormat="1" applyFont="1" applyFill="1" applyAlignment="1" applyProtection="1">
      <alignment wrapText="1"/>
      <protection hidden="1"/>
    </xf>
    <xf numFmtId="1" fontId="44" fillId="0" borderId="0" xfId="2" applyNumberFormat="1" applyFont="1" applyFill="1" applyProtection="1">
      <protection hidden="1"/>
    </xf>
    <xf numFmtId="0" fontId="61" fillId="3" borderId="0" xfId="2" applyFont="1" applyFill="1" applyAlignment="1" applyProtection="1">
      <alignment horizontal="center"/>
      <protection hidden="1"/>
    </xf>
    <xf numFmtId="0" fontId="121" fillId="4" borderId="0" xfId="6" applyFont="1" applyFill="1" applyBorder="1" applyAlignment="1" applyProtection="1">
      <alignment vertical="top"/>
      <protection hidden="1"/>
    </xf>
    <xf numFmtId="0" fontId="27" fillId="4" borderId="0" xfId="6" applyFont="1" applyFill="1" applyBorder="1" applyAlignment="1" applyProtection="1">
      <alignment vertical="top"/>
      <protection hidden="1"/>
    </xf>
    <xf numFmtId="0" fontId="9" fillId="3" borderId="0" xfId="6" applyFont="1" applyFill="1" applyBorder="1" applyAlignment="1" applyProtection="1">
      <alignment wrapText="1"/>
      <protection hidden="1"/>
    </xf>
    <xf numFmtId="0" fontId="149" fillId="10" borderId="0" xfId="6" applyFont="1" applyFill="1" applyBorder="1" applyAlignment="1" applyProtection="1">
      <alignment vertical="top" wrapText="1"/>
      <protection hidden="1"/>
    </xf>
    <xf numFmtId="0" fontId="149" fillId="10" borderId="292" xfId="6" applyFont="1" applyFill="1" applyBorder="1" applyAlignment="1" applyProtection="1">
      <alignment vertical="top" wrapText="1"/>
      <protection hidden="1"/>
    </xf>
    <xf numFmtId="0" fontId="1" fillId="0" borderId="0" xfId="6" applyFont="1" applyBorder="1" applyProtection="1">
      <protection hidden="1"/>
    </xf>
    <xf numFmtId="0" fontId="5" fillId="0" borderId="289" xfId="6" applyFont="1" applyFill="1" applyBorder="1" applyAlignment="1" applyProtection="1">
      <protection hidden="1"/>
    </xf>
    <xf numFmtId="164" fontId="44" fillId="0" borderId="193" xfId="1" applyNumberFormat="1" applyFont="1" applyBorder="1" applyAlignment="1" applyProtection="1">
      <alignment horizontal="right"/>
      <protection hidden="1"/>
    </xf>
    <xf numFmtId="1" fontId="44" fillId="0" borderId="193" xfId="2" applyNumberFormat="1" applyFont="1" applyFill="1" applyBorder="1" applyAlignment="1" applyProtection="1">
      <alignment horizontal="left"/>
      <protection hidden="1"/>
    </xf>
    <xf numFmtId="1" fontId="44" fillId="0" borderId="124" xfId="2" applyNumberFormat="1" applyFont="1" applyFill="1" applyBorder="1" applyAlignment="1" applyProtection="1">
      <alignment horizontal="left"/>
      <protection hidden="1"/>
    </xf>
    <xf numFmtId="164" fontId="5" fillId="2" borderId="0" xfId="6" applyNumberFormat="1" applyFont="1" applyFill="1" applyAlignment="1" applyProtection="1">
      <alignment vertical="center" wrapText="1"/>
      <protection hidden="1"/>
    </xf>
    <xf numFmtId="2" fontId="5" fillId="3" borderId="0" xfId="6" applyNumberFormat="1" applyFont="1" applyFill="1" applyBorder="1" applyAlignment="1" applyProtection="1">
      <protection hidden="1"/>
    </xf>
    <xf numFmtId="0" fontId="175" fillId="0" borderId="232" xfId="6" applyFont="1" applyBorder="1" applyProtection="1">
      <protection hidden="1"/>
    </xf>
    <xf numFmtId="0" fontId="5" fillId="3" borderId="0" xfId="6" applyFont="1" applyFill="1" applyBorder="1" applyAlignment="1" applyProtection="1">
      <alignment vertical="center" wrapText="1"/>
      <protection hidden="1"/>
    </xf>
    <xf numFmtId="0" fontId="176" fillId="0" borderId="122" xfId="6" applyFont="1" applyBorder="1" applyProtection="1">
      <protection hidden="1"/>
    </xf>
    <xf numFmtId="0" fontId="176" fillId="0" borderId="229" xfId="6" applyFont="1" applyBorder="1" applyAlignment="1" applyProtection="1">
      <alignment horizontal="left"/>
      <protection hidden="1"/>
    </xf>
    <xf numFmtId="0" fontId="176" fillId="0" borderId="56" xfId="6" applyFont="1" applyBorder="1" applyProtection="1">
      <protection hidden="1"/>
    </xf>
    <xf numFmtId="0" fontId="176" fillId="0" borderId="232" xfId="6" applyFont="1" applyBorder="1" applyProtection="1">
      <protection hidden="1"/>
    </xf>
    <xf numFmtId="0" fontId="176" fillId="0" borderId="58" xfId="6" applyFont="1" applyBorder="1" applyProtection="1">
      <protection hidden="1"/>
    </xf>
    <xf numFmtId="2" fontId="10" fillId="3" borderId="0" xfId="1" applyNumberFormat="1" applyFont="1" applyFill="1" applyAlignment="1" applyProtection="1">
      <alignment horizontal="left"/>
      <protection hidden="1"/>
    </xf>
    <xf numFmtId="0" fontId="21" fillId="3" borderId="0" xfId="288" applyFont="1" applyFill="1" applyAlignment="1" applyProtection="1">
      <protection hidden="1"/>
    </xf>
    <xf numFmtId="164" fontId="5" fillId="2" borderId="0" xfId="6" applyNumberFormat="1" applyFont="1" applyFill="1" applyBorder="1" applyAlignment="1" applyProtection="1">
      <alignment vertical="top" wrapText="1"/>
      <protection hidden="1"/>
    </xf>
    <xf numFmtId="0" fontId="21" fillId="3" borderId="0" xfId="288" applyFont="1" applyFill="1" applyBorder="1" applyAlignment="1" applyProtection="1">
      <protection hidden="1"/>
    </xf>
    <xf numFmtId="0" fontId="1" fillId="2" borderId="0" xfId="6" applyFont="1" applyFill="1" applyBorder="1" applyAlignment="1" applyProtection="1">
      <protection hidden="1"/>
    </xf>
    <xf numFmtId="168" fontId="5" fillId="10" borderId="124" xfId="2" applyNumberFormat="1" applyFont="1" applyFill="1" applyBorder="1" applyAlignment="1" applyProtection="1">
      <alignment horizontal="center"/>
      <protection hidden="1"/>
    </xf>
    <xf numFmtId="2" fontId="5" fillId="10" borderId="124" xfId="2" applyNumberFormat="1" applyFont="1" applyFill="1" applyBorder="1" applyAlignment="1" applyProtection="1">
      <alignment horizontal="center" wrapText="1"/>
      <protection hidden="1"/>
    </xf>
    <xf numFmtId="0" fontId="13" fillId="3" borderId="0" xfId="3" applyFont="1" applyFill="1" applyAlignment="1" applyProtection="1">
      <alignment vertical="center"/>
      <protection hidden="1"/>
    </xf>
    <xf numFmtId="0" fontId="2" fillId="3" borderId="0" xfId="6" applyFont="1" applyFill="1" applyAlignment="1" applyProtection="1">
      <alignment vertical="top"/>
      <protection hidden="1"/>
    </xf>
    <xf numFmtId="0" fontId="14" fillId="10" borderId="0" xfId="198" applyFont="1" applyFill="1" applyBorder="1" applyAlignment="1" applyProtection="1">
      <protection hidden="1"/>
    </xf>
    <xf numFmtId="0" fontId="5" fillId="0" borderId="0" xfId="6" applyFont="1" applyAlignment="1" applyProtection="1">
      <alignment horizontal="center"/>
      <protection hidden="1"/>
    </xf>
    <xf numFmtId="0" fontId="147" fillId="0" borderId="0" xfId="6" applyFont="1" applyFill="1" applyAlignment="1" applyProtection="1">
      <protection hidden="1"/>
    </xf>
    <xf numFmtId="0" fontId="147" fillId="0" borderId="0" xfId="6" applyFont="1" applyAlignment="1" applyProtection="1">
      <protection hidden="1"/>
    </xf>
    <xf numFmtId="0" fontId="5" fillId="0" borderId="0" xfId="6" applyFont="1" applyFill="1" applyAlignment="1" applyProtection="1">
      <protection hidden="1"/>
    </xf>
    <xf numFmtId="0" fontId="105" fillId="0" borderId="0" xfId="6" applyFont="1" applyFill="1" applyAlignment="1" applyProtection="1">
      <protection hidden="1"/>
    </xf>
    <xf numFmtId="0" fontId="158" fillId="0" borderId="0" xfId="6" applyFont="1" applyFill="1" applyBorder="1" applyAlignment="1" applyProtection="1">
      <alignment vertical="top"/>
      <protection hidden="1"/>
    </xf>
    <xf numFmtId="0" fontId="5" fillId="0" borderId="0" xfId="6" applyFont="1" applyFill="1" applyBorder="1" applyProtection="1">
      <protection hidden="1"/>
    </xf>
    <xf numFmtId="0" fontId="5" fillId="0" borderId="0" xfId="6" applyFont="1" applyFill="1" applyBorder="1" applyAlignment="1" applyProtection="1">
      <protection hidden="1"/>
    </xf>
    <xf numFmtId="0" fontId="64" fillId="3" borderId="120" xfId="2" applyFont="1" applyFill="1" applyBorder="1" applyAlignment="1" applyProtection="1">
      <alignment horizontal="left"/>
      <protection hidden="1"/>
    </xf>
    <xf numFmtId="0" fontId="64" fillId="3" borderId="116" xfId="2" applyFont="1" applyFill="1" applyBorder="1" applyAlignment="1" applyProtection="1">
      <alignment horizontal="left"/>
      <protection hidden="1"/>
    </xf>
    <xf numFmtId="0" fontId="64" fillId="3" borderId="20" xfId="2" applyFont="1" applyFill="1" applyBorder="1" applyAlignment="1" applyProtection="1">
      <alignment horizontal="left"/>
      <protection hidden="1"/>
    </xf>
    <xf numFmtId="0" fontId="170" fillId="0" borderId="10" xfId="1" applyFont="1" applyBorder="1" applyProtection="1">
      <protection hidden="1"/>
    </xf>
    <xf numFmtId="0" fontId="5" fillId="2" borderId="177" xfId="200" applyFont="1" applyFill="1" applyBorder="1" applyAlignment="1" applyProtection="1">
      <alignment horizontal="left"/>
      <protection hidden="1"/>
    </xf>
    <xf numFmtId="0" fontId="5" fillId="0" borderId="180" xfId="198" applyFont="1" applyBorder="1" applyAlignment="1" applyProtection="1">
      <alignment horizontal="left"/>
      <protection hidden="1"/>
    </xf>
    <xf numFmtId="0" fontId="5" fillId="6" borderId="179" xfId="2" applyFont="1" applyFill="1" applyBorder="1" applyAlignment="1" applyProtection="1">
      <alignment horizontal="center"/>
      <protection locked="0"/>
    </xf>
    <xf numFmtId="0" fontId="1" fillId="4" borderId="0" xfId="198" applyFont="1" applyFill="1" applyAlignment="1" applyProtection="1">
      <alignment horizontal="center"/>
      <protection hidden="1"/>
    </xf>
    <xf numFmtId="0" fontId="5" fillId="0" borderId="278" xfId="6" applyFont="1" applyBorder="1" applyProtection="1">
      <protection hidden="1"/>
    </xf>
    <xf numFmtId="0" fontId="5" fillId="0" borderId="304" xfId="6" applyFont="1" applyBorder="1" applyProtection="1">
      <protection hidden="1"/>
    </xf>
    <xf numFmtId="0" fontId="5" fillId="0" borderId="305" xfId="6" applyFont="1" applyBorder="1" applyProtection="1">
      <protection hidden="1"/>
    </xf>
    <xf numFmtId="0" fontId="34" fillId="4" borderId="309" xfId="2" applyFont="1" applyFill="1" applyBorder="1" applyAlignment="1" applyProtection="1">
      <alignment vertical="top" wrapText="1"/>
      <protection hidden="1"/>
    </xf>
    <xf numFmtId="0" fontId="34" fillId="4" borderId="310" xfId="2" applyFont="1" applyFill="1" applyBorder="1" applyAlignment="1" applyProtection="1">
      <alignment vertical="top" wrapText="1"/>
      <protection hidden="1"/>
    </xf>
    <xf numFmtId="0" fontId="5" fillId="0" borderId="193" xfId="6" applyFont="1" applyBorder="1" applyProtection="1">
      <protection hidden="1"/>
    </xf>
    <xf numFmtId="0" fontId="5" fillId="0" borderId="124" xfId="2" applyFont="1" applyBorder="1" applyAlignment="1" applyProtection="1">
      <alignment horizontal="right"/>
      <protection hidden="1"/>
    </xf>
    <xf numFmtId="166" fontId="5" fillId="10" borderId="124" xfId="2" applyNumberFormat="1" applyFont="1" applyFill="1" applyBorder="1" applyAlignment="1" applyProtection="1">
      <alignment horizontal="center"/>
      <protection hidden="1"/>
    </xf>
    <xf numFmtId="1" fontId="5" fillId="3" borderId="0" xfId="2" applyNumberFormat="1" applyFill="1" applyAlignment="1" applyProtection="1">
      <protection hidden="1"/>
    </xf>
    <xf numFmtId="0" fontId="1" fillId="0" borderId="0" xfId="2" applyFont="1" applyAlignment="1" applyProtection="1">
      <protection hidden="1"/>
    </xf>
    <xf numFmtId="164" fontId="5" fillId="0" borderId="0" xfId="2" applyNumberFormat="1" applyAlignment="1" applyProtection="1">
      <protection hidden="1"/>
    </xf>
    <xf numFmtId="0" fontId="1" fillId="0" borderId="0" xfId="198" applyFont="1" applyAlignment="1" applyProtection="1">
      <protection hidden="1"/>
    </xf>
    <xf numFmtId="0" fontId="115" fillId="0" borderId="336" xfId="3" applyFont="1" applyBorder="1" applyAlignment="1" applyProtection="1">
      <protection hidden="1"/>
    </xf>
    <xf numFmtId="0" fontId="1" fillId="3" borderId="0" xfId="2" applyFont="1" applyFill="1" applyBorder="1" applyProtection="1">
      <protection hidden="1"/>
    </xf>
    <xf numFmtId="0" fontId="1" fillId="3" borderId="0" xfId="6" applyFont="1" applyFill="1" applyBorder="1" applyProtection="1">
      <protection hidden="1"/>
    </xf>
    <xf numFmtId="0" fontId="1" fillId="2" borderId="0" xfId="6" applyFont="1" applyFill="1" applyBorder="1" applyProtection="1">
      <protection hidden="1"/>
    </xf>
    <xf numFmtId="0" fontId="47" fillId="3" borderId="0" xfId="2" applyFont="1" applyFill="1" applyBorder="1" applyAlignment="1" applyProtection="1">
      <alignment vertical="center"/>
      <protection hidden="1"/>
    </xf>
    <xf numFmtId="164" fontId="5" fillId="3" borderId="331" xfId="6" applyNumberFormat="1" applyFont="1" applyFill="1" applyBorder="1" applyAlignment="1" applyProtection="1">
      <protection hidden="1"/>
    </xf>
    <xf numFmtId="0" fontId="6" fillId="3" borderId="0" xfId="1" applyFont="1" applyFill="1" applyAlignment="1" applyProtection="1">
      <protection hidden="1"/>
    </xf>
    <xf numFmtId="0" fontId="23" fillId="3" borderId="338" xfId="0" applyFont="1" applyFill="1" applyBorder="1" applyAlignment="1" applyProtection="1">
      <alignment horizontal="right"/>
      <protection hidden="1"/>
    </xf>
    <xf numFmtId="1" fontId="5" fillId="0" borderId="339" xfId="6" applyNumberFormat="1" applyFont="1" applyBorder="1" applyProtection="1">
      <protection hidden="1"/>
    </xf>
    <xf numFmtId="2" fontId="5" fillId="0" borderId="339" xfId="6" applyNumberFormat="1" applyFont="1" applyBorder="1" applyProtection="1">
      <protection hidden="1"/>
    </xf>
    <xf numFmtId="0" fontId="4" fillId="3" borderId="0" xfId="1" applyFont="1" applyFill="1" applyAlignment="1" applyProtection="1">
      <alignment horizontal="center"/>
      <protection hidden="1"/>
    </xf>
    <xf numFmtId="0" fontId="1" fillId="0" borderId="0" xfId="410" applyFont="1" applyProtection="1">
      <protection hidden="1"/>
    </xf>
    <xf numFmtId="0" fontId="8" fillId="4" borderId="0" xfId="410" applyFont="1" applyFill="1" applyProtection="1">
      <protection hidden="1"/>
    </xf>
    <xf numFmtId="0" fontId="1" fillId="4" borderId="0" xfId="410" applyFont="1" applyFill="1" applyProtection="1">
      <protection hidden="1"/>
    </xf>
    <xf numFmtId="0" fontId="1" fillId="0" borderId="0" xfId="410" applyFont="1"/>
    <xf numFmtId="0" fontId="11" fillId="3" borderId="0" xfId="410" applyFont="1" applyFill="1" applyProtection="1">
      <protection hidden="1"/>
    </xf>
    <xf numFmtId="0" fontId="1" fillId="10" borderId="0" xfId="410" applyFont="1" applyFill="1" applyProtection="1">
      <protection hidden="1"/>
    </xf>
    <xf numFmtId="0" fontId="44" fillId="14" borderId="0" xfId="410" applyFont="1" applyFill="1" applyAlignment="1" applyProtection="1">
      <protection hidden="1"/>
    </xf>
    <xf numFmtId="0" fontId="197" fillId="14" borderId="0" xfId="410" applyFill="1" applyAlignment="1" applyProtection="1">
      <alignment horizontal="center"/>
      <protection hidden="1"/>
    </xf>
    <xf numFmtId="0" fontId="1" fillId="14" borderId="0" xfId="410" applyFont="1" applyFill="1" applyProtection="1">
      <protection hidden="1"/>
    </xf>
    <xf numFmtId="0" fontId="5" fillId="45" borderId="0" xfId="1" applyFont="1" applyFill="1" applyAlignment="1" applyProtection="1">
      <alignment horizontal="center"/>
      <protection hidden="1"/>
    </xf>
    <xf numFmtId="166" fontId="5" fillId="3" borderId="0" xfId="1" applyNumberFormat="1" applyFont="1" applyFill="1" applyProtection="1">
      <protection hidden="1"/>
    </xf>
    <xf numFmtId="0" fontId="5" fillId="3" borderId="0" xfId="2" applyFill="1" applyAlignment="1" applyProtection="1">
      <alignment horizontal="right"/>
      <protection hidden="1"/>
    </xf>
    <xf numFmtId="49" fontId="16" fillId="0" borderId="0" xfId="1" applyNumberFormat="1" applyFont="1" applyFill="1" applyAlignment="1" applyProtection="1">
      <alignment vertical="center"/>
      <protection hidden="1"/>
    </xf>
    <xf numFmtId="0" fontId="16" fillId="0" borderId="0" xfId="1" applyFont="1" applyFill="1" applyAlignment="1" applyProtection="1">
      <alignment vertical="center"/>
      <protection hidden="1"/>
    </xf>
    <xf numFmtId="0" fontId="5" fillId="3" borderId="0" xfId="410" applyFont="1" applyFill="1" applyAlignment="1" applyProtection="1">
      <alignment horizontal="right"/>
      <protection hidden="1"/>
    </xf>
    <xf numFmtId="0" fontId="19" fillId="13" borderId="0" xfId="410" applyFont="1" applyFill="1" applyProtection="1">
      <protection locked="0"/>
    </xf>
    <xf numFmtId="0" fontId="5" fillId="5" borderId="346" xfId="1" applyFont="1" applyFill="1" applyBorder="1" applyProtection="1">
      <protection hidden="1"/>
    </xf>
    <xf numFmtId="0" fontId="5" fillId="10" borderId="0" xfId="410" applyFont="1" applyFill="1" applyAlignment="1" applyProtection="1">
      <alignment horizontal="right"/>
      <protection hidden="1"/>
    </xf>
    <xf numFmtId="0" fontId="5" fillId="3" borderId="175" xfId="2" applyFill="1" applyBorder="1" applyAlignment="1" applyProtection="1">
      <protection hidden="1"/>
    </xf>
    <xf numFmtId="0" fontId="20" fillId="2" borderId="0" xfId="1" applyFont="1" applyFill="1" applyAlignment="1" applyProtection="1">
      <alignment horizontal="center"/>
      <protection hidden="1"/>
    </xf>
    <xf numFmtId="0" fontId="21" fillId="3" borderId="0" xfId="2" applyFont="1" applyFill="1" applyAlignment="1" applyProtection="1">
      <alignment horizontal="left" wrapText="1"/>
      <protection hidden="1"/>
    </xf>
    <xf numFmtId="0" fontId="5" fillId="0" borderId="0" xfId="410" applyFont="1" applyAlignment="1" applyProtection="1">
      <alignment horizontal="center"/>
      <protection hidden="1"/>
    </xf>
    <xf numFmtId="0" fontId="1" fillId="4" borderId="0" xfId="410" applyFont="1" applyFill="1" applyAlignment="1" applyProtection="1">
      <alignment horizontal="left"/>
      <protection hidden="1"/>
    </xf>
    <xf numFmtId="0" fontId="9" fillId="3" borderId="0" xfId="1" applyFont="1" applyFill="1" applyAlignment="1" applyProtection="1">
      <alignment wrapText="1"/>
      <protection hidden="1"/>
    </xf>
    <xf numFmtId="0" fontId="5" fillId="10" borderId="329" xfId="2" applyFont="1" applyFill="1" applyBorder="1" applyAlignment="1" applyProtection="1">
      <alignment horizontal="center"/>
      <protection hidden="1"/>
    </xf>
    <xf numFmtId="0" fontId="5" fillId="10" borderId="347" xfId="2" applyFont="1" applyFill="1" applyBorder="1" applyAlignment="1" applyProtection="1">
      <alignment horizontal="center"/>
      <protection hidden="1"/>
    </xf>
    <xf numFmtId="0" fontId="5" fillId="0" borderId="0" xfId="410" applyFont="1" applyAlignment="1" applyProtection="1">
      <alignment horizontal="right"/>
      <protection hidden="1"/>
    </xf>
    <xf numFmtId="0" fontId="5" fillId="13" borderId="340" xfId="2" applyNumberFormat="1" applyFill="1" applyBorder="1" applyAlignment="1" applyProtection="1">
      <alignment horizontal="center"/>
      <protection locked="0"/>
    </xf>
    <xf numFmtId="2" fontId="5" fillId="4" borderId="335" xfId="2" applyNumberFormat="1" applyFill="1" applyBorder="1" applyAlignment="1" applyProtection="1">
      <alignment horizontal="center"/>
      <protection hidden="1"/>
    </xf>
    <xf numFmtId="164" fontId="25" fillId="14" borderId="11" xfId="410" applyNumberFormat="1" applyFont="1" applyFill="1" applyBorder="1" applyProtection="1">
      <protection hidden="1"/>
    </xf>
    <xf numFmtId="164" fontId="32" fillId="45" borderId="0" xfId="1" applyNumberFormat="1" applyFont="1" applyFill="1" applyBorder="1" applyProtection="1">
      <protection hidden="1"/>
    </xf>
    <xf numFmtId="0" fontId="14" fillId="3" borderId="0" xfId="4" applyFont="1" applyFill="1" applyProtection="1">
      <protection hidden="1"/>
    </xf>
    <xf numFmtId="0" fontId="5" fillId="0" borderId="0" xfId="410" applyFont="1" applyProtection="1">
      <protection hidden="1"/>
    </xf>
    <xf numFmtId="2" fontId="25" fillId="14" borderId="26" xfId="410" applyNumberFormat="1" applyFont="1" applyFill="1" applyBorder="1" applyProtection="1">
      <protection hidden="1"/>
    </xf>
    <xf numFmtId="2" fontId="32" fillId="45" borderId="25" xfId="2" applyNumberFormat="1" applyFont="1" applyFill="1" applyBorder="1" applyProtection="1">
      <protection hidden="1"/>
    </xf>
    <xf numFmtId="1" fontId="5" fillId="3" borderId="31" xfId="410" applyNumberFormat="1" applyFont="1" applyFill="1" applyBorder="1" applyProtection="1">
      <protection hidden="1"/>
    </xf>
    <xf numFmtId="1" fontId="5" fillId="3" borderId="0" xfId="410" applyNumberFormat="1" applyFont="1" applyFill="1" applyBorder="1" applyProtection="1">
      <protection hidden="1"/>
    </xf>
    <xf numFmtId="165" fontId="5" fillId="0" borderId="0" xfId="410" applyNumberFormat="1" applyFont="1" applyProtection="1">
      <protection hidden="1"/>
    </xf>
    <xf numFmtId="1" fontId="26" fillId="3" borderId="36" xfId="410" applyNumberFormat="1" applyFont="1" applyFill="1" applyBorder="1" applyProtection="1">
      <protection hidden="1"/>
    </xf>
    <xf numFmtId="1" fontId="26" fillId="3" borderId="35" xfId="410" applyNumberFormat="1" applyFont="1" applyFill="1" applyBorder="1" applyProtection="1">
      <protection hidden="1"/>
    </xf>
    <xf numFmtId="1" fontId="5" fillId="3" borderId="38" xfId="410" applyNumberFormat="1" applyFont="1" applyFill="1" applyBorder="1" applyProtection="1">
      <protection hidden="1"/>
    </xf>
    <xf numFmtId="1" fontId="5" fillId="3" borderId="0" xfId="4" applyNumberFormat="1" applyFont="1" applyFill="1" applyAlignment="1" applyProtection="1">
      <alignment horizontal="left"/>
      <protection hidden="1"/>
    </xf>
    <xf numFmtId="49" fontId="5" fillId="0" borderId="0" xfId="1" applyNumberFormat="1" applyFont="1" applyProtection="1">
      <protection hidden="1"/>
    </xf>
    <xf numFmtId="164" fontId="5" fillId="3" borderId="31" xfId="410" applyNumberFormat="1" applyFont="1" applyFill="1" applyBorder="1" applyProtection="1">
      <protection hidden="1"/>
    </xf>
    <xf numFmtId="164" fontId="5" fillId="3" borderId="0" xfId="410" applyNumberFormat="1" applyFont="1" applyFill="1" applyBorder="1" applyProtection="1">
      <protection hidden="1"/>
    </xf>
    <xf numFmtId="1" fontId="5" fillId="3" borderId="0" xfId="410" applyNumberFormat="1" applyFont="1" applyFill="1" applyProtection="1">
      <protection hidden="1"/>
    </xf>
    <xf numFmtId="0" fontId="5" fillId="14" borderId="40" xfId="410" applyFont="1" applyFill="1" applyBorder="1" applyAlignment="1" applyProtection="1">
      <alignment horizontal="right"/>
      <protection hidden="1"/>
    </xf>
    <xf numFmtId="164" fontId="5" fillId="3" borderId="294" xfId="4" applyNumberFormat="1" applyFont="1" applyFill="1" applyBorder="1" applyAlignment="1" applyProtection="1">
      <alignment horizontal="center"/>
      <protection hidden="1"/>
    </xf>
    <xf numFmtId="0" fontId="5" fillId="3" borderId="0" xfId="410" applyFont="1" applyFill="1" applyProtection="1">
      <protection hidden="1"/>
    </xf>
    <xf numFmtId="0" fontId="5" fillId="14" borderId="0" xfId="410" applyFont="1" applyFill="1" applyBorder="1" applyAlignment="1" applyProtection="1">
      <protection hidden="1"/>
    </xf>
    <xf numFmtId="0" fontId="5" fillId="14" borderId="0" xfId="410" applyFont="1" applyFill="1" applyBorder="1" applyAlignment="1" applyProtection="1">
      <alignment horizontal="right"/>
      <protection hidden="1"/>
    </xf>
    <xf numFmtId="0" fontId="52" fillId="14" borderId="0" xfId="410" applyFont="1" applyFill="1" applyBorder="1" applyAlignment="1" applyProtection="1">
      <alignment horizontal="left"/>
      <protection hidden="1"/>
    </xf>
    <xf numFmtId="0" fontId="23" fillId="3" borderId="0" xfId="410" applyFont="1" applyFill="1" applyBorder="1" applyAlignment="1" applyProtection="1">
      <alignment horizontal="right"/>
      <protection hidden="1"/>
    </xf>
    <xf numFmtId="0" fontId="5" fillId="3" borderId="0" xfId="410" applyFont="1" applyFill="1" applyBorder="1" applyProtection="1">
      <protection hidden="1"/>
    </xf>
    <xf numFmtId="0" fontId="5" fillId="2" borderId="0" xfId="2" applyFont="1" applyFill="1" applyAlignment="1" applyProtection="1">
      <alignment horizontal="left"/>
      <protection hidden="1"/>
    </xf>
    <xf numFmtId="0" fontId="5" fillId="10" borderId="340" xfId="2" applyFont="1" applyFill="1" applyBorder="1" applyAlignment="1" applyProtection="1">
      <alignment horizontal="center"/>
      <protection hidden="1"/>
    </xf>
    <xf numFmtId="0" fontId="8" fillId="3" borderId="0" xfId="2" applyFont="1" applyFill="1" applyAlignment="1" applyProtection="1">
      <protection hidden="1"/>
    </xf>
    <xf numFmtId="0" fontId="5" fillId="5" borderId="0" xfId="2" applyFont="1" applyFill="1" applyAlignment="1" applyProtection="1">
      <alignment horizontal="right"/>
      <protection locked="0"/>
    </xf>
    <xf numFmtId="166" fontId="5" fillId="4" borderId="335" xfId="2" applyNumberFormat="1" applyFill="1" applyBorder="1" applyAlignment="1" applyProtection="1">
      <alignment horizontal="center"/>
      <protection hidden="1"/>
    </xf>
    <xf numFmtId="2" fontId="5" fillId="0" borderId="340" xfId="2" applyNumberFormat="1" applyFont="1" applyBorder="1" applyAlignment="1" applyProtection="1">
      <alignment horizontal="center"/>
      <protection hidden="1"/>
    </xf>
    <xf numFmtId="0" fontId="5" fillId="0" borderId="340" xfId="2" applyFont="1" applyBorder="1" applyAlignment="1" applyProtection="1">
      <alignment horizontal="center"/>
      <protection hidden="1"/>
    </xf>
    <xf numFmtId="0" fontId="5" fillId="5" borderId="340" xfId="2" applyFont="1" applyFill="1" applyBorder="1" applyAlignment="1" applyProtection="1">
      <alignment horizontal="center"/>
      <protection locked="0"/>
    </xf>
    <xf numFmtId="166" fontId="5" fillId="0" borderId="340" xfId="2" applyNumberFormat="1" applyFont="1" applyBorder="1" applyAlignment="1" applyProtection="1">
      <alignment horizontal="center"/>
      <protection hidden="1"/>
    </xf>
    <xf numFmtId="0" fontId="5" fillId="3" borderId="292" xfId="1" applyFont="1" applyFill="1" applyBorder="1" applyAlignment="1" applyProtection="1">
      <alignment vertical="center"/>
      <protection hidden="1"/>
    </xf>
    <xf numFmtId="0" fontId="5" fillId="3" borderId="292" xfId="1" applyFont="1" applyFill="1" applyBorder="1" applyAlignment="1" applyProtection="1">
      <alignment wrapText="1"/>
      <protection hidden="1"/>
    </xf>
    <xf numFmtId="0" fontId="5" fillId="3" borderId="335" xfId="2" applyFill="1" applyBorder="1" applyProtection="1">
      <protection hidden="1"/>
    </xf>
    <xf numFmtId="0" fontId="5" fillId="3" borderId="333" xfId="2" applyFill="1" applyBorder="1" applyProtection="1">
      <protection hidden="1"/>
    </xf>
    <xf numFmtId="0" fontId="202" fillId="3" borderId="0" xfId="1" applyFont="1" applyFill="1" applyAlignment="1" applyProtection="1">
      <alignment horizontal="center"/>
      <protection hidden="1"/>
    </xf>
    <xf numFmtId="0" fontId="1" fillId="0" borderId="0" xfId="1" applyFont="1" applyProtection="1">
      <protection hidden="1"/>
    </xf>
    <xf numFmtId="0" fontId="5" fillId="0" borderId="333" xfId="1" applyFont="1" applyBorder="1" applyAlignment="1" applyProtection="1">
      <alignment horizontal="left"/>
      <protection hidden="1"/>
    </xf>
    <xf numFmtId="0" fontId="199" fillId="3" borderId="0" xfId="2" applyFont="1" applyFill="1" applyAlignment="1" applyProtection="1">
      <alignment horizontal="center" wrapText="1"/>
      <protection hidden="1"/>
    </xf>
    <xf numFmtId="0" fontId="51" fillId="3" borderId="302" xfId="1" applyFont="1" applyFill="1" applyBorder="1" applyProtection="1">
      <protection hidden="1"/>
    </xf>
    <xf numFmtId="0" fontId="5" fillId="14" borderId="0" xfId="410" applyFont="1" applyFill="1" applyAlignment="1" applyProtection="1">
      <alignment horizontal="right"/>
      <protection hidden="1"/>
    </xf>
    <xf numFmtId="0" fontId="5" fillId="4" borderId="353" xfId="2" applyFill="1" applyBorder="1" applyProtection="1">
      <protection hidden="1"/>
    </xf>
    <xf numFmtId="0" fontId="47" fillId="0" borderId="302" xfId="1" applyFont="1" applyBorder="1" applyProtection="1">
      <protection hidden="1"/>
    </xf>
    <xf numFmtId="0" fontId="5" fillId="16" borderId="273" xfId="1" applyFont="1" applyFill="1" applyBorder="1" applyProtection="1">
      <protection locked="0"/>
    </xf>
    <xf numFmtId="0" fontId="5" fillId="0" borderId="302" xfId="1" applyFont="1" applyBorder="1" applyProtection="1">
      <protection hidden="1"/>
    </xf>
    <xf numFmtId="0" fontId="204" fillId="3" borderId="302" xfId="1" applyFont="1" applyFill="1" applyBorder="1" applyProtection="1">
      <protection hidden="1"/>
    </xf>
    <xf numFmtId="0" fontId="1" fillId="3" borderId="302" xfId="1" applyFont="1" applyFill="1" applyBorder="1" applyProtection="1">
      <protection hidden="1"/>
    </xf>
    <xf numFmtId="0" fontId="1" fillId="0" borderId="0" xfId="410" applyFont="1" applyBorder="1" applyProtection="1">
      <protection hidden="1"/>
    </xf>
    <xf numFmtId="0" fontId="207" fillId="10" borderId="302" xfId="410" applyFont="1" applyFill="1" applyBorder="1" applyProtection="1">
      <protection hidden="1"/>
    </xf>
    <xf numFmtId="0" fontId="61" fillId="0" borderId="0" xfId="1" applyFont="1" applyProtection="1">
      <protection hidden="1"/>
    </xf>
    <xf numFmtId="0" fontId="61" fillId="3" borderId="302" xfId="1" applyFont="1" applyFill="1" applyBorder="1" applyProtection="1">
      <protection hidden="1"/>
    </xf>
    <xf numFmtId="0" fontId="5" fillId="3" borderId="340" xfId="2" applyFont="1" applyFill="1" applyBorder="1" applyAlignment="1" applyProtection="1">
      <alignment horizontal="center"/>
      <protection hidden="1"/>
    </xf>
    <xf numFmtId="0" fontId="5" fillId="3" borderId="302" xfId="1" applyFont="1" applyFill="1" applyBorder="1" applyProtection="1">
      <protection hidden="1"/>
    </xf>
    <xf numFmtId="0" fontId="52" fillId="0" borderId="356" xfId="2" applyFont="1" applyBorder="1" applyProtection="1">
      <protection hidden="1"/>
    </xf>
    <xf numFmtId="0" fontId="52" fillId="0" borderId="0" xfId="410" applyFont="1" applyProtection="1">
      <protection hidden="1"/>
    </xf>
    <xf numFmtId="164" fontId="5" fillId="0" borderId="0" xfId="1" applyNumberFormat="1" applyFont="1" applyAlignment="1" applyProtection="1">
      <alignment horizontal="right"/>
      <protection hidden="1"/>
    </xf>
    <xf numFmtId="0" fontId="5" fillId="5" borderId="230" xfId="1" applyFont="1" applyFill="1" applyBorder="1" applyProtection="1">
      <protection locked="0"/>
    </xf>
    <xf numFmtId="0" fontId="5" fillId="0" borderId="341" xfId="2" applyBorder="1" applyAlignment="1" applyProtection="1">
      <alignment horizontal="right"/>
      <protection hidden="1"/>
    </xf>
    <xf numFmtId="166" fontId="8" fillId="0" borderId="343" xfId="1" applyNumberFormat="1" applyFont="1" applyBorder="1" applyAlignment="1" applyProtection="1">
      <alignment horizontal="center" wrapText="1"/>
      <protection hidden="1"/>
    </xf>
    <xf numFmtId="164" fontId="5" fillId="0" borderId="292" xfId="1" applyNumberFormat="1" applyFont="1" applyBorder="1" applyAlignment="1" applyProtection="1">
      <alignment horizontal="right"/>
      <protection hidden="1"/>
    </xf>
    <xf numFmtId="2" fontId="5" fillId="0" borderId="292" xfId="1" applyNumberFormat="1" applyFont="1" applyBorder="1" applyProtection="1">
      <protection hidden="1"/>
    </xf>
    <xf numFmtId="0" fontId="5" fillId="10" borderId="0" xfId="2" applyFont="1" applyFill="1" applyBorder="1" applyAlignment="1" applyProtection="1">
      <protection hidden="1"/>
    </xf>
    <xf numFmtId="0" fontId="26" fillId="0" borderId="341" xfId="1" applyFont="1" applyBorder="1" applyAlignment="1" applyProtection="1">
      <alignment horizontal="center"/>
      <protection hidden="1"/>
    </xf>
    <xf numFmtId="166" fontId="26" fillId="0" borderId="343" xfId="1" applyNumberFormat="1" applyFont="1" applyBorder="1" applyAlignment="1" applyProtection="1">
      <alignment horizontal="center" vertical="center" wrapText="1"/>
      <protection hidden="1"/>
    </xf>
    <xf numFmtId="0" fontId="5" fillId="10" borderId="308" xfId="2" applyFont="1" applyFill="1" applyBorder="1" applyAlignment="1" applyProtection="1">
      <alignment horizontal="center"/>
      <protection hidden="1"/>
    </xf>
    <xf numFmtId="1" fontId="40" fillId="4" borderId="0" xfId="2" applyNumberFormat="1" applyFont="1" applyFill="1" applyAlignment="1" applyProtection="1">
      <alignment wrapText="1"/>
      <protection hidden="1"/>
    </xf>
    <xf numFmtId="1" fontId="5" fillId="5" borderId="230" xfId="2" applyNumberFormat="1" applyFill="1" applyBorder="1" applyProtection="1">
      <protection locked="0"/>
    </xf>
    <xf numFmtId="0" fontId="5" fillId="13" borderId="357" xfId="2" applyNumberFormat="1" applyFill="1" applyBorder="1" applyAlignment="1" applyProtection="1">
      <alignment horizontal="center"/>
      <protection locked="0"/>
    </xf>
    <xf numFmtId="0" fontId="67" fillId="0" borderId="0" xfId="2" applyFont="1" applyAlignment="1" applyProtection="1">
      <alignment horizontal="right"/>
      <protection hidden="1"/>
    </xf>
    <xf numFmtId="0" fontId="5" fillId="16" borderId="274" xfId="1" applyFont="1" applyFill="1" applyBorder="1" applyProtection="1">
      <protection locked="0"/>
    </xf>
    <xf numFmtId="0" fontId="1" fillId="0" borderId="0" xfId="1" applyFont="1" applyFill="1" applyProtection="1">
      <protection hidden="1"/>
    </xf>
    <xf numFmtId="0" fontId="136" fillId="0" borderId="0" xfId="410" applyFont="1" applyFill="1" applyAlignment="1" applyProtection="1">
      <alignment horizontal="right"/>
      <protection hidden="1"/>
    </xf>
    <xf numFmtId="0" fontId="1" fillId="0" borderId="0" xfId="410" applyFont="1" applyFill="1" applyProtection="1">
      <protection hidden="1"/>
    </xf>
    <xf numFmtId="1" fontId="44" fillId="0" borderId="0" xfId="2" applyNumberFormat="1" applyFont="1" applyFill="1" applyAlignment="1" applyProtection="1">
      <alignment horizontal="right"/>
      <protection hidden="1"/>
    </xf>
    <xf numFmtId="0" fontId="44" fillId="0" borderId="0" xfId="2" applyFont="1" applyFill="1" applyAlignment="1" applyProtection="1">
      <alignment horizontal="right"/>
      <protection hidden="1"/>
    </xf>
    <xf numFmtId="164" fontId="1" fillId="0" borderId="0" xfId="1" applyNumberFormat="1" applyFont="1" applyProtection="1">
      <protection hidden="1"/>
    </xf>
    <xf numFmtId="0" fontId="5" fillId="0" borderId="0" xfId="410" applyFont="1" applyFill="1" applyProtection="1">
      <protection hidden="1"/>
    </xf>
    <xf numFmtId="0" fontId="174" fillId="0" borderId="0" xfId="410" applyFont="1" applyFill="1" applyProtection="1">
      <protection hidden="1"/>
    </xf>
    <xf numFmtId="1" fontId="39" fillId="0" borderId="0" xfId="2" applyNumberFormat="1" applyFont="1" applyFill="1" applyProtection="1">
      <protection hidden="1"/>
    </xf>
    <xf numFmtId="0" fontId="39" fillId="0" borderId="0" xfId="2" applyFont="1" applyFill="1" applyProtection="1">
      <protection hidden="1"/>
    </xf>
    <xf numFmtId="0" fontId="39" fillId="0" borderId="0" xfId="410" applyFont="1" applyFill="1" applyProtection="1">
      <protection hidden="1"/>
    </xf>
    <xf numFmtId="165" fontId="38" fillId="3" borderId="0" xfId="2" applyNumberFormat="1" applyFont="1" applyFill="1" applyAlignment="1" applyProtection="1">
      <alignment horizontal="left"/>
      <protection hidden="1"/>
    </xf>
    <xf numFmtId="1" fontId="39" fillId="0" borderId="0" xfId="2" applyNumberFormat="1" applyFont="1" applyProtection="1">
      <protection hidden="1"/>
    </xf>
    <xf numFmtId="0" fontId="93" fillId="0" borderId="0" xfId="2" applyFont="1" applyProtection="1">
      <protection hidden="1"/>
    </xf>
    <xf numFmtId="2" fontId="213" fillId="3" borderId="0" xfId="2" applyNumberFormat="1" applyFont="1" applyFill="1" applyAlignment="1" applyProtection="1">
      <alignment horizontal="center" vertical="center" wrapText="1"/>
      <protection hidden="1"/>
    </xf>
    <xf numFmtId="2" fontId="119" fillId="3" borderId="0" xfId="2" applyNumberFormat="1" applyFont="1" applyFill="1" applyAlignment="1" applyProtection="1">
      <alignment horizontal="center" vertical="center" wrapText="1"/>
      <protection hidden="1"/>
    </xf>
    <xf numFmtId="0" fontId="27" fillId="4" borderId="0" xfId="2" applyFont="1" applyFill="1" applyBorder="1" applyAlignment="1" applyProtection="1">
      <alignment horizontal="center" vertical="center" wrapText="1"/>
      <protection hidden="1"/>
    </xf>
    <xf numFmtId="0" fontId="27" fillId="4" borderId="0" xfId="2" applyFont="1" applyFill="1" applyBorder="1" applyAlignment="1" applyProtection="1">
      <alignment vertical="top" wrapText="1"/>
      <protection hidden="1"/>
    </xf>
    <xf numFmtId="1" fontId="40" fillId="4" borderId="0" xfId="2" applyNumberFormat="1" applyFont="1" applyFill="1" applyAlignment="1" applyProtection="1">
      <alignment horizontal="left" wrapText="1"/>
      <protection hidden="1"/>
    </xf>
    <xf numFmtId="0" fontId="59" fillId="4" borderId="0" xfId="410" applyFont="1" applyFill="1" applyBorder="1" applyAlignment="1" applyProtection="1">
      <alignment horizontal="right"/>
      <protection hidden="1"/>
    </xf>
    <xf numFmtId="0" fontId="5" fillId="16" borderId="365" xfId="2" applyFont="1" applyFill="1" applyBorder="1" applyAlignment="1" applyProtection="1">
      <alignment horizontal="center"/>
      <protection locked="0"/>
    </xf>
    <xf numFmtId="0" fontId="71" fillId="10" borderId="0" xfId="410" applyFont="1" applyFill="1" applyProtection="1">
      <protection hidden="1"/>
    </xf>
    <xf numFmtId="0" fontId="5" fillId="3" borderId="0" xfId="2" applyFill="1" applyAlignment="1" applyProtection="1">
      <alignment wrapText="1"/>
      <protection hidden="1"/>
    </xf>
    <xf numFmtId="0" fontId="1" fillId="3" borderId="0" xfId="410" applyFont="1" applyFill="1" applyProtection="1">
      <protection hidden="1"/>
    </xf>
    <xf numFmtId="0" fontId="1" fillId="0" borderId="341" xfId="1" applyFont="1" applyBorder="1" applyProtection="1">
      <protection hidden="1"/>
    </xf>
    <xf numFmtId="0" fontId="5" fillId="0" borderId="178" xfId="2" applyBorder="1" applyProtection="1">
      <protection hidden="1"/>
    </xf>
    <xf numFmtId="0" fontId="5" fillId="0" borderId="343" xfId="2" applyBorder="1" applyProtection="1">
      <protection hidden="1"/>
    </xf>
    <xf numFmtId="0" fontId="47" fillId="0" borderId="0" xfId="1" applyFont="1" applyAlignment="1" applyProtection="1">
      <alignment horizontal="center"/>
      <protection hidden="1"/>
    </xf>
    <xf numFmtId="0" fontId="5" fillId="0" borderId="21" xfId="2" applyBorder="1" applyProtection="1">
      <protection hidden="1"/>
    </xf>
    <xf numFmtId="0" fontId="9" fillId="0" borderId="365" xfId="410" applyFont="1" applyBorder="1" applyAlignment="1" applyProtection="1">
      <alignment horizontal="center"/>
      <protection hidden="1"/>
    </xf>
    <xf numFmtId="0" fontId="5" fillId="5" borderId="230" xfId="410" applyFont="1" applyFill="1" applyBorder="1" applyAlignment="1" applyProtection="1">
      <alignment vertical="top" wrapText="1"/>
      <protection locked="0"/>
    </xf>
    <xf numFmtId="0" fontId="5" fillId="5" borderId="230" xfId="1" applyFont="1" applyFill="1" applyBorder="1" applyAlignment="1" applyProtection="1">
      <alignment horizontal="center"/>
      <protection locked="0"/>
    </xf>
    <xf numFmtId="0" fontId="44" fillId="2" borderId="0" xfId="2" applyFont="1" applyFill="1" applyProtection="1">
      <protection hidden="1"/>
    </xf>
    <xf numFmtId="0" fontId="5" fillId="5" borderId="230" xfId="410" applyFont="1" applyFill="1" applyBorder="1" applyProtection="1">
      <protection locked="0"/>
    </xf>
    <xf numFmtId="0" fontId="18" fillId="5" borderId="230" xfId="410" applyFont="1" applyFill="1" applyBorder="1" applyProtection="1">
      <protection locked="0"/>
    </xf>
    <xf numFmtId="0" fontId="5" fillId="5" borderId="230" xfId="7" applyFill="1" applyBorder="1" applyProtection="1">
      <protection locked="0"/>
    </xf>
    <xf numFmtId="0" fontId="5" fillId="5" borderId="230" xfId="2" applyFill="1" applyBorder="1" applyProtection="1">
      <protection locked="0"/>
    </xf>
    <xf numFmtId="1" fontId="5" fillId="5" borderId="230" xfId="1" applyNumberFormat="1" applyFont="1" applyFill="1" applyBorder="1" applyAlignment="1" applyProtection="1">
      <alignment horizontal="center"/>
      <protection locked="0"/>
    </xf>
    <xf numFmtId="0" fontId="5" fillId="5" borderId="230" xfId="7" applyFill="1" applyBorder="1" applyAlignment="1" applyProtection="1">
      <alignment horizontal="center"/>
      <protection locked="0"/>
    </xf>
    <xf numFmtId="1" fontId="5" fillId="5" borderId="230" xfId="2" applyNumberFormat="1" applyFill="1" applyBorder="1" applyAlignment="1" applyProtection="1">
      <alignment horizontal="center"/>
      <protection locked="0"/>
    </xf>
    <xf numFmtId="0" fontId="5" fillId="5" borderId="230" xfId="2" applyFill="1" applyBorder="1" applyAlignment="1" applyProtection="1">
      <alignment horizontal="center"/>
      <protection locked="0"/>
    </xf>
    <xf numFmtId="0" fontId="47" fillId="0" borderId="178" xfId="1" applyFont="1" applyBorder="1" applyAlignment="1" applyProtection="1">
      <alignment horizontal="center"/>
      <protection hidden="1"/>
    </xf>
    <xf numFmtId="0" fontId="1" fillId="0" borderId="302" xfId="198" applyFont="1" applyBorder="1"/>
    <xf numFmtId="0" fontId="1" fillId="0" borderId="0" xfId="198" applyFont="1" applyFill="1"/>
    <xf numFmtId="0" fontId="1" fillId="0" borderId="0" xfId="198" applyFont="1" applyBorder="1" applyProtection="1">
      <protection hidden="1"/>
    </xf>
    <xf numFmtId="0" fontId="56" fillId="0" borderId="301" xfId="2" applyFont="1" applyBorder="1" applyProtection="1">
      <protection hidden="1"/>
    </xf>
    <xf numFmtId="0" fontId="1" fillId="0" borderId="301" xfId="198" applyFont="1" applyBorder="1" applyProtection="1">
      <protection hidden="1"/>
    </xf>
    <xf numFmtId="0" fontId="5" fillId="5" borderId="0" xfId="198" applyFont="1" applyFill="1" applyBorder="1" applyProtection="1">
      <protection locked="0"/>
    </xf>
    <xf numFmtId="0" fontId="5" fillId="5" borderId="0" xfId="198" applyFont="1" applyFill="1" applyBorder="1" applyAlignment="1" applyProtection="1">
      <alignment horizontal="right"/>
      <protection locked="0"/>
    </xf>
    <xf numFmtId="0" fontId="1" fillId="0" borderId="0" xfId="198" applyFont="1" applyBorder="1"/>
    <xf numFmtId="0" fontId="90" fillId="0" borderId="0" xfId="1" applyFont="1" applyBorder="1" applyAlignment="1" applyProtection="1">
      <alignment horizontal="center"/>
      <protection locked="0"/>
    </xf>
    <xf numFmtId="0" fontId="1" fillId="0" borderId="301" xfId="198" applyFont="1" applyBorder="1"/>
    <xf numFmtId="164" fontId="5" fillId="5" borderId="0" xfId="198" applyNumberFormat="1" applyFont="1" applyFill="1" applyBorder="1" applyProtection="1">
      <protection locked="0"/>
    </xf>
    <xf numFmtId="0" fontId="1" fillId="0" borderId="0" xfId="2" applyFont="1" applyBorder="1" applyProtection="1">
      <protection locked="0"/>
    </xf>
    <xf numFmtId="0" fontId="66" fillId="0" borderId="0" xfId="198" applyFont="1" applyBorder="1"/>
    <xf numFmtId="0" fontId="66" fillId="0" borderId="0" xfId="2" applyFont="1" applyBorder="1" applyProtection="1">
      <protection locked="0"/>
    </xf>
    <xf numFmtId="0" fontId="5" fillId="0" borderId="0" xfId="198" applyFont="1" applyBorder="1" applyAlignment="1"/>
    <xf numFmtId="0" fontId="56" fillId="0" borderId="0" xfId="2" applyFont="1" applyBorder="1" applyAlignment="1"/>
    <xf numFmtId="0" fontId="56" fillId="0" borderId="0" xfId="2" applyFont="1" applyBorder="1" applyProtection="1">
      <protection locked="0"/>
    </xf>
    <xf numFmtId="0" fontId="1" fillId="0" borderId="0" xfId="198" applyFont="1" applyBorder="1" applyProtection="1">
      <protection locked="0"/>
    </xf>
    <xf numFmtId="1" fontId="118" fillId="0" borderId="0" xfId="2" applyNumberFormat="1" applyFont="1" applyBorder="1" applyAlignment="1" applyProtection="1">
      <alignment vertical="top" wrapText="1"/>
      <protection locked="0"/>
    </xf>
    <xf numFmtId="1" fontId="5" fillId="5" borderId="0" xfId="198" applyNumberFormat="1" applyFont="1" applyFill="1" applyBorder="1" applyProtection="1">
      <protection locked="0"/>
    </xf>
    <xf numFmtId="0" fontId="5" fillId="0" borderId="0" xfId="198" applyFont="1" applyBorder="1" applyAlignment="1">
      <alignment horizontal="left"/>
    </xf>
    <xf numFmtId="164" fontId="5" fillId="5" borderId="0" xfId="2" applyNumberFormat="1" applyFill="1" applyBorder="1" applyProtection="1">
      <protection locked="0"/>
    </xf>
    <xf numFmtId="0" fontId="90" fillId="0" borderId="301" xfId="2" applyFont="1" applyBorder="1" applyAlignment="1" applyProtection="1">
      <alignment horizontal="center"/>
      <protection hidden="1"/>
    </xf>
    <xf numFmtId="0" fontId="1" fillId="0" borderId="301" xfId="2" applyFont="1" applyBorder="1" applyProtection="1">
      <protection hidden="1"/>
    </xf>
    <xf numFmtId="0" fontId="5" fillId="5" borderId="0" xfId="1" applyFont="1" applyFill="1" applyBorder="1" applyProtection="1">
      <protection locked="0"/>
    </xf>
    <xf numFmtId="0" fontId="1" fillId="0" borderId="301" xfId="2" applyFont="1" applyBorder="1"/>
    <xf numFmtId="0" fontId="9" fillId="0" borderId="0" xfId="1" applyFont="1" applyBorder="1" applyAlignment="1">
      <alignment horizontal="center"/>
    </xf>
    <xf numFmtId="0" fontId="5" fillId="5" borderId="0" xfId="7" applyFill="1" applyBorder="1" applyProtection="1">
      <protection locked="0"/>
    </xf>
    <xf numFmtId="1" fontId="5" fillId="5" borderId="0" xfId="1" applyNumberFormat="1" applyFont="1" applyFill="1" applyBorder="1" applyProtection="1">
      <protection locked="0"/>
    </xf>
    <xf numFmtId="0" fontId="5" fillId="6" borderId="0" xfId="1" applyFont="1" applyFill="1" applyBorder="1" applyAlignment="1" applyProtection="1">
      <alignment horizontal="left"/>
      <protection locked="0"/>
    </xf>
    <xf numFmtId="1" fontId="5" fillId="5" borderId="0" xfId="2" applyNumberFormat="1" applyFill="1" applyBorder="1" applyProtection="1">
      <protection locked="0"/>
    </xf>
    <xf numFmtId="1" fontId="103" fillId="0" borderId="0" xfId="2" applyNumberFormat="1" applyFont="1" applyBorder="1"/>
    <xf numFmtId="0" fontId="1" fillId="0" borderId="301" xfId="198" applyFont="1" applyFill="1" applyBorder="1" applyProtection="1">
      <protection hidden="1"/>
    </xf>
    <xf numFmtId="0" fontId="47" fillId="5" borderId="0" xfId="198" applyFont="1" applyFill="1" applyBorder="1" applyProtection="1">
      <protection locked="0"/>
    </xf>
    <xf numFmtId="0" fontId="1" fillId="0" borderId="0" xfId="198" applyFont="1" applyFill="1" applyBorder="1" applyProtection="1">
      <protection hidden="1"/>
    </xf>
    <xf numFmtId="0" fontId="5" fillId="5" borderId="0" xfId="198" applyFont="1" applyFill="1" applyBorder="1" applyAlignment="1" applyProtection="1">
      <alignment horizontal="left"/>
      <protection locked="0"/>
    </xf>
    <xf numFmtId="0" fontId="5" fillId="0" borderId="0" xfId="2" applyBorder="1" applyProtection="1">
      <protection locked="0"/>
    </xf>
    <xf numFmtId="0" fontId="119" fillId="0" borderId="0" xfId="2" applyFont="1" applyBorder="1" applyProtection="1">
      <protection locked="0"/>
    </xf>
    <xf numFmtId="0" fontId="78" fillId="0" borderId="0" xfId="2" applyFont="1" applyBorder="1" applyProtection="1">
      <protection locked="0"/>
    </xf>
    <xf numFmtId="0" fontId="139" fillId="5" borderId="0" xfId="2" applyFont="1" applyFill="1" applyBorder="1" applyProtection="1">
      <protection locked="0"/>
    </xf>
    <xf numFmtId="0" fontId="47" fillId="0" borderId="0" xfId="2" applyFont="1" applyBorder="1" applyAlignment="1">
      <alignment vertical="center" wrapText="1"/>
    </xf>
    <xf numFmtId="0" fontId="1" fillId="0" borderId="302" xfId="2" applyFont="1" applyBorder="1"/>
    <xf numFmtId="0" fontId="1" fillId="0" borderId="291" xfId="198" applyFont="1" applyBorder="1" applyProtection="1">
      <protection hidden="1"/>
    </xf>
    <xf numFmtId="0" fontId="178" fillId="4" borderId="0" xfId="411" applyFont="1" applyFill="1" applyAlignment="1" applyProtection="1">
      <alignment horizontal="center" wrapText="1"/>
      <protection hidden="1"/>
    </xf>
    <xf numFmtId="166" fontId="10" fillId="4" borderId="0" xfId="411" applyNumberFormat="1" applyFont="1" applyFill="1" applyAlignment="1" applyProtection="1">
      <alignment horizontal="center"/>
      <protection hidden="1"/>
    </xf>
    <xf numFmtId="0" fontId="10" fillId="4" borderId="0" xfId="411" applyFont="1" applyFill="1" applyAlignment="1" applyProtection="1">
      <alignment horizontal="center"/>
      <protection hidden="1"/>
    </xf>
    <xf numFmtId="0" fontId="20" fillId="2" borderId="0" xfId="411" applyFont="1" applyFill="1" applyProtection="1">
      <protection hidden="1"/>
    </xf>
    <xf numFmtId="0" fontId="1" fillId="3" borderId="0" xfId="4" applyFont="1" applyFill="1" applyProtection="1">
      <protection hidden="1"/>
    </xf>
    <xf numFmtId="0" fontId="1" fillId="3" borderId="0" xfId="411" applyFill="1" applyProtection="1">
      <protection hidden="1"/>
    </xf>
    <xf numFmtId="0" fontId="136" fillId="3" borderId="0" xfId="4" applyFont="1" applyFill="1" applyProtection="1">
      <protection hidden="1"/>
    </xf>
    <xf numFmtId="0" fontId="220" fillId="3" borderId="302" xfId="4" applyFont="1" applyFill="1" applyBorder="1" applyAlignment="1" applyProtection="1">
      <alignment horizontal="center"/>
      <protection hidden="1"/>
    </xf>
    <xf numFmtId="0" fontId="220" fillId="3" borderId="193" xfId="4" applyFont="1" applyFill="1" applyBorder="1" applyAlignment="1" applyProtection="1">
      <alignment horizontal="center"/>
      <protection hidden="1"/>
    </xf>
    <xf numFmtId="0" fontId="220" fillId="3" borderId="302" xfId="411" applyFont="1" applyFill="1" applyBorder="1" applyAlignment="1" applyProtection="1">
      <alignment horizontal="center"/>
      <protection hidden="1"/>
    </xf>
    <xf numFmtId="0" fontId="136" fillId="3" borderId="0" xfId="411" applyFont="1" applyFill="1" applyProtection="1">
      <protection hidden="1"/>
    </xf>
    <xf numFmtId="2" fontId="136" fillId="3" borderId="0" xfId="411" applyNumberFormat="1" applyFont="1" applyFill="1" applyProtection="1">
      <protection hidden="1"/>
    </xf>
    <xf numFmtId="0" fontId="136" fillId="2" borderId="0" xfId="4" applyFont="1" applyFill="1" applyProtection="1">
      <protection hidden="1"/>
    </xf>
    <xf numFmtId="166" fontId="136" fillId="3" borderId="0" xfId="411" applyNumberFormat="1" applyFont="1" applyFill="1" applyProtection="1">
      <protection hidden="1"/>
    </xf>
    <xf numFmtId="1" fontId="137" fillId="3" borderId="0" xfId="411" applyNumberFormat="1" applyFont="1" applyFill="1" applyProtection="1">
      <protection hidden="1"/>
    </xf>
    <xf numFmtId="164" fontId="137" fillId="3" borderId="0" xfId="4" applyNumberFormat="1" applyFont="1" applyFill="1" applyAlignment="1" applyProtection="1">
      <alignment horizontal="right"/>
      <protection hidden="1"/>
    </xf>
    <xf numFmtId="164" fontId="1" fillId="3" borderId="0" xfId="4" applyNumberFormat="1" applyFont="1" applyFill="1" applyAlignment="1" applyProtection="1">
      <alignment horizontal="center"/>
      <protection hidden="1"/>
    </xf>
    <xf numFmtId="0" fontId="1" fillId="2" borderId="0" xfId="4" applyFont="1" applyFill="1" applyProtection="1">
      <protection hidden="1"/>
    </xf>
    <xf numFmtId="165" fontId="66" fillId="5" borderId="0" xfId="411" applyNumberFormat="1" applyFont="1" applyFill="1" applyAlignment="1" applyProtection="1">
      <alignment horizontal="center" vertical="center" wrapText="1"/>
      <protection locked="0"/>
    </xf>
    <xf numFmtId="165" fontId="136" fillId="2" borderId="0" xfId="411" applyNumberFormat="1" applyFont="1" applyFill="1" applyAlignment="1" applyProtection="1">
      <alignment horizontal="center" vertical="center" wrapText="1"/>
      <protection hidden="1"/>
    </xf>
    <xf numFmtId="165" fontId="66" fillId="5" borderId="0" xfId="411" applyNumberFormat="1" applyFont="1" applyFill="1" applyAlignment="1" applyProtection="1">
      <alignment horizontal="center" vertical="top"/>
      <protection locked="0"/>
    </xf>
    <xf numFmtId="166" fontId="1" fillId="3" borderId="0" xfId="411" applyNumberFormat="1" applyFill="1" applyAlignment="1" applyProtection="1">
      <alignment horizontal="left" vertical="top" wrapText="1"/>
      <protection hidden="1"/>
    </xf>
    <xf numFmtId="165" fontId="136" fillId="2" borderId="0" xfId="411" applyNumberFormat="1" applyFont="1" applyFill="1" applyAlignment="1" applyProtection="1">
      <alignment horizontal="center" vertical="top"/>
      <protection hidden="1"/>
    </xf>
    <xf numFmtId="0" fontId="71" fillId="3" borderId="0" xfId="2" applyFont="1" applyFill="1" applyAlignment="1" applyProtection="1">
      <protection hidden="1"/>
    </xf>
    <xf numFmtId="0" fontId="5" fillId="0" borderId="0" xfId="2" applyFont="1" applyAlignment="1" applyProtection="1">
      <alignment horizontal="center"/>
      <protection hidden="1"/>
    </xf>
    <xf numFmtId="0" fontId="26" fillId="0" borderId="344" xfId="1" applyFont="1" applyBorder="1" applyAlignment="1" applyProtection="1">
      <alignment horizontal="center"/>
      <protection hidden="1"/>
    </xf>
    <xf numFmtId="0" fontId="34" fillId="14" borderId="353" xfId="0" applyFont="1" applyFill="1" applyBorder="1" applyAlignment="1" applyProtection="1">
      <alignment horizontal="right"/>
      <protection hidden="1"/>
    </xf>
    <xf numFmtId="0" fontId="5" fillId="14" borderId="372" xfId="0" applyFont="1" applyFill="1" applyBorder="1" applyAlignment="1" applyProtection="1">
      <alignment horizontal="right"/>
      <protection hidden="1"/>
    </xf>
    <xf numFmtId="0" fontId="5" fillId="14" borderId="374" xfId="0" applyFont="1" applyFill="1" applyBorder="1" applyAlignment="1" applyProtection="1">
      <alignment horizontal="right"/>
      <protection hidden="1"/>
    </xf>
    <xf numFmtId="0" fontId="36" fillId="14" borderId="353" xfId="0" applyFont="1" applyFill="1" applyBorder="1" applyAlignment="1" applyProtection="1">
      <alignment horizontal="right"/>
      <protection hidden="1"/>
    </xf>
    <xf numFmtId="0" fontId="40" fillId="14" borderId="353" xfId="0" applyFont="1" applyFill="1" applyBorder="1" applyAlignment="1" applyProtection="1">
      <alignment horizontal="right"/>
      <protection hidden="1"/>
    </xf>
    <xf numFmtId="0" fontId="1" fillId="3" borderId="0" xfId="413" applyFont="1" applyFill="1" applyProtection="1">
      <protection hidden="1"/>
    </xf>
    <xf numFmtId="0" fontId="227" fillId="3" borderId="0" xfId="413" applyFont="1" applyFill="1" applyAlignment="1" applyProtection="1">
      <alignment horizontal="center"/>
      <protection hidden="1"/>
    </xf>
    <xf numFmtId="0" fontId="1" fillId="0" borderId="0" xfId="413" applyFont="1"/>
    <xf numFmtId="0" fontId="9" fillId="3" borderId="0" xfId="1" applyFont="1" applyFill="1" applyProtection="1">
      <protection hidden="1"/>
    </xf>
    <xf numFmtId="0" fontId="1" fillId="3" borderId="0" xfId="2" applyFont="1" applyFill="1" applyAlignment="1" applyProtection="1">
      <protection hidden="1"/>
    </xf>
    <xf numFmtId="0" fontId="9" fillId="3" borderId="0" xfId="2" applyFont="1" applyFill="1" applyAlignment="1" applyProtection="1">
      <alignment horizontal="center"/>
      <protection hidden="1"/>
    </xf>
    <xf numFmtId="0" fontId="5" fillId="5" borderId="193" xfId="2" applyFill="1" applyBorder="1" applyAlignment="1" applyProtection="1">
      <alignment horizontal="center"/>
      <protection locked="0"/>
    </xf>
    <xf numFmtId="0" fontId="5" fillId="0" borderId="302" xfId="2" applyBorder="1" applyAlignment="1" applyProtection="1">
      <alignment horizontal="center"/>
      <protection hidden="1"/>
    </xf>
    <xf numFmtId="0" fontId="5" fillId="2" borderId="172" xfId="2" applyFont="1" applyFill="1" applyBorder="1" applyProtection="1">
      <protection hidden="1"/>
    </xf>
    <xf numFmtId="165" fontId="9" fillId="0" borderId="302" xfId="2" applyNumberFormat="1" applyFont="1" applyBorder="1" applyAlignment="1" applyProtection="1">
      <alignment horizontal="left"/>
      <protection hidden="1"/>
    </xf>
    <xf numFmtId="0" fontId="5" fillId="2" borderId="171" xfId="2" applyFont="1" applyFill="1" applyBorder="1" applyProtection="1">
      <protection hidden="1"/>
    </xf>
    <xf numFmtId="0" fontId="5" fillId="4" borderId="0" xfId="2" applyFont="1" applyFill="1" applyProtection="1">
      <protection hidden="1"/>
    </xf>
    <xf numFmtId="0" fontId="5" fillId="2" borderId="0" xfId="2" applyFont="1" applyFill="1" applyProtection="1">
      <protection hidden="1"/>
    </xf>
    <xf numFmtId="0" fontId="229" fillId="0" borderId="0" xfId="2" applyFont="1" applyProtection="1">
      <protection hidden="1"/>
    </xf>
    <xf numFmtId="1" fontId="229" fillId="0" borderId="0" xfId="2" applyNumberFormat="1" applyFont="1" applyProtection="1">
      <protection hidden="1"/>
    </xf>
    <xf numFmtId="1" fontId="5" fillId="0" borderId="0" xfId="2" applyNumberFormat="1" applyFont="1" applyProtection="1">
      <protection hidden="1"/>
    </xf>
    <xf numFmtId="165" fontId="9" fillId="0" borderId="302" xfId="2" applyNumberFormat="1" applyFont="1" applyBorder="1" applyAlignment="1" applyProtection="1">
      <alignment horizontal="right"/>
      <protection hidden="1"/>
    </xf>
    <xf numFmtId="165" fontId="5" fillId="0" borderId="0" xfId="2" applyNumberFormat="1" applyFont="1" applyAlignment="1" applyProtection="1">
      <alignment horizontal="right"/>
      <protection hidden="1"/>
    </xf>
    <xf numFmtId="2" fontId="34" fillId="59" borderId="0" xfId="2" applyNumberFormat="1" applyFont="1" applyFill="1" applyProtection="1">
      <protection hidden="1"/>
    </xf>
    <xf numFmtId="1" fontId="5" fillId="0" borderId="0" xfId="2" applyNumberFormat="1" applyFont="1" applyAlignment="1" applyProtection="1">
      <alignment horizontal="right"/>
      <protection hidden="1"/>
    </xf>
    <xf numFmtId="0" fontId="230" fillId="2" borderId="302" xfId="2" applyFont="1" applyFill="1" applyBorder="1" applyAlignment="1" applyProtection="1">
      <alignment vertical="top"/>
      <protection hidden="1"/>
    </xf>
    <xf numFmtId="0" fontId="230" fillId="2" borderId="0" xfId="2" applyFont="1" applyFill="1" applyBorder="1" applyAlignment="1" applyProtection="1">
      <alignment vertical="top"/>
      <protection hidden="1"/>
    </xf>
    <xf numFmtId="0" fontId="5" fillId="0" borderId="302" xfId="2" applyFont="1" applyBorder="1" applyAlignment="1" applyProtection="1">
      <alignment horizontal="center"/>
      <protection hidden="1"/>
    </xf>
    <xf numFmtId="0" fontId="5" fillId="0" borderId="0" xfId="2" applyFont="1" applyBorder="1" applyAlignment="1" applyProtection="1">
      <alignment horizontal="center"/>
      <protection hidden="1"/>
    </xf>
    <xf numFmtId="0" fontId="5" fillId="2" borderId="172" xfId="2" applyFill="1" applyBorder="1" applyProtection="1">
      <protection hidden="1"/>
    </xf>
    <xf numFmtId="0" fontId="14" fillId="14" borderId="0" xfId="2" applyFont="1" applyFill="1" applyAlignment="1" applyProtection="1">
      <protection hidden="1"/>
    </xf>
    <xf numFmtId="164" fontId="51" fillId="3" borderId="172" xfId="2" applyNumberFormat="1" applyFont="1" applyFill="1" applyBorder="1" applyAlignment="1" applyProtection="1">
      <alignment horizontal="center"/>
      <protection hidden="1"/>
    </xf>
    <xf numFmtId="0" fontId="14" fillId="4" borderId="0" xfId="2" applyFont="1" applyFill="1" applyBorder="1" applyAlignment="1" applyProtection="1">
      <protection hidden="1"/>
    </xf>
    <xf numFmtId="4" fontId="5" fillId="0" borderId="0" xfId="2" applyNumberFormat="1" applyAlignment="1" applyProtection="1">
      <alignment horizontal="right"/>
      <protection hidden="1"/>
    </xf>
    <xf numFmtId="2" fontId="5" fillId="0" borderId="301" xfId="2" applyNumberFormat="1" applyBorder="1" applyProtection="1">
      <protection hidden="1"/>
    </xf>
    <xf numFmtId="171" fontId="5" fillId="0" borderId="0" xfId="2" applyNumberFormat="1" applyAlignment="1" applyProtection="1">
      <alignment horizontal="right"/>
      <protection hidden="1"/>
    </xf>
    <xf numFmtId="0" fontId="1" fillId="4" borderId="0" xfId="413" applyFont="1" applyFill="1" applyProtection="1">
      <protection hidden="1"/>
    </xf>
    <xf numFmtId="2" fontId="34" fillId="59" borderId="301" xfId="2" applyNumberFormat="1" applyFont="1" applyFill="1" applyBorder="1" applyProtection="1">
      <protection hidden="1"/>
    </xf>
    <xf numFmtId="0" fontId="5" fillId="3" borderId="0" xfId="2" applyFont="1" applyFill="1" applyAlignment="1" applyProtection="1">
      <alignment vertical="top" wrapText="1"/>
      <protection hidden="1"/>
    </xf>
    <xf numFmtId="1" fontId="5" fillId="0" borderId="0" xfId="2" applyNumberFormat="1" applyAlignment="1" applyProtection="1">
      <alignment horizontal="right"/>
      <protection hidden="1"/>
    </xf>
    <xf numFmtId="2" fontId="44" fillId="4" borderId="0" xfId="2" applyNumberFormat="1" applyFont="1" applyFill="1" applyProtection="1">
      <protection hidden="1"/>
    </xf>
    <xf numFmtId="0" fontId="5" fillId="2" borderId="0" xfId="2" applyFont="1" applyFill="1" applyAlignment="1" applyProtection="1">
      <alignment vertical="top" wrapText="1"/>
      <protection hidden="1"/>
    </xf>
    <xf numFmtId="1" fontId="5" fillId="0" borderId="0" xfId="2" applyNumberFormat="1" applyFont="1" applyFill="1" applyAlignment="1" applyProtection="1">
      <alignment horizontal="right"/>
      <protection hidden="1"/>
    </xf>
    <xf numFmtId="2" fontId="5" fillId="0" borderId="301" xfId="2" applyNumberFormat="1" applyFont="1" applyBorder="1" applyProtection="1">
      <protection hidden="1"/>
    </xf>
    <xf numFmtId="171" fontId="9" fillId="0" borderId="0" xfId="2" applyNumberFormat="1" applyFont="1" applyAlignment="1" applyProtection="1">
      <alignment horizontal="right"/>
      <protection hidden="1"/>
    </xf>
    <xf numFmtId="171" fontId="5" fillId="0" borderId="0" xfId="2" applyNumberFormat="1" applyFont="1" applyAlignment="1" applyProtection="1">
      <alignment horizontal="right"/>
      <protection hidden="1"/>
    </xf>
    <xf numFmtId="0" fontId="236" fillId="4" borderId="0" xfId="2" applyFont="1" applyFill="1" applyBorder="1" applyAlignment="1" applyProtection="1">
      <alignment vertical="top" wrapText="1"/>
      <protection hidden="1"/>
    </xf>
    <xf numFmtId="0" fontId="233" fillId="0" borderId="0" xfId="2" applyFont="1" applyFill="1" applyAlignment="1" applyProtection="1">
      <alignment horizontal="right"/>
      <protection hidden="1"/>
    </xf>
    <xf numFmtId="171" fontId="5" fillId="0" borderId="0" xfId="2" applyNumberFormat="1" applyFont="1" applyProtection="1">
      <protection hidden="1"/>
    </xf>
    <xf numFmtId="171" fontId="51" fillId="0" borderId="0" xfId="2" applyNumberFormat="1" applyFont="1" applyProtection="1">
      <protection hidden="1"/>
    </xf>
    <xf numFmtId="0" fontId="52" fillId="2" borderId="0" xfId="2" applyFont="1" applyFill="1" applyBorder="1" applyAlignment="1" applyProtection="1">
      <alignment vertical="center"/>
      <protection hidden="1"/>
    </xf>
    <xf numFmtId="0" fontId="5" fillId="0" borderId="0" xfId="2" applyFont="1" applyFill="1" applyProtection="1">
      <protection hidden="1"/>
    </xf>
    <xf numFmtId="0" fontId="51" fillId="0" borderId="0" xfId="2" applyFont="1" applyProtection="1">
      <protection hidden="1"/>
    </xf>
    <xf numFmtId="0" fontId="26" fillId="3" borderId="0" xfId="1" applyFont="1" applyFill="1" applyAlignment="1" applyProtection="1">
      <alignment horizontal="left"/>
      <protection hidden="1"/>
    </xf>
    <xf numFmtId="2" fontId="1" fillId="0" borderId="0" xfId="2" applyNumberFormat="1" applyFont="1" applyFill="1" applyProtection="1">
      <protection hidden="1"/>
    </xf>
    <xf numFmtId="0" fontId="51" fillId="0" borderId="0" xfId="2" applyFont="1" applyFill="1" applyProtection="1">
      <protection hidden="1"/>
    </xf>
    <xf numFmtId="0" fontId="1" fillId="0" borderId="0" xfId="2" applyFont="1" applyFill="1" applyProtection="1">
      <protection hidden="1"/>
    </xf>
    <xf numFmtId="0" fontId="236" fillId="0" borderId="0" xfId="2" applyFont="1" applyFill="1" applyBorder="1" applyAlignment="1" applyProtection="1">
      <protection hidden="1"/>
    </xf>
    <xf numFmtId="0" fontId="14" fillId="0" borderId="0" xfId="2" applyFont="1" applyFill="1" applyAlignment="1" applyProtection="1">
      <alignment wrapText="1"/>
      <protection hidden="1"/>
    </xf>
    <xf numFmtId="0" fontId="5" fillId="0" borderId="0" xfId="2" applyNumberFormat="1" applyFont="1" applyFill="1" applyBorder="1" applyAlignment="1" applyProtection="1">
      <alignment vertical="center" wrapText="1"/>
      <protection hidden="1"/>
    </xf>
    <xf numFmtId="0" fontId="52" fillId="0" borderId="0" xfId="2" applyFont="1" applyFill="1" applyBorder="1" applyAlignment="1" applyProtection="1">
      <alignment vertical="center"/>
      <protection hidden="1"/>
    </xf>
    <xf numFmtId="0" fontId="226" fillId="0" borderId="0" xfId="413" applyProtection="1">
      <protection hidden="1"/>
    </xf>
    <xf numFmtId="0" fontId="179" fillId="3" borderId="0" xfId="2" applyFont="1" applyFill="1" applyProtection="1">
      <protection hidden="1"/>
    </xf>
    <xf numFmtId="0" fontId="217" fillId="3" borderId="0" xfId="2" applyFont="1" applyFill="1" applyAlignment="1" applyProtection="1">
      <alignment horizontal="right"/>
      <protection hidden="1"/>
    </xf>
    <xf numFmtId="0" fontId="5" fillId="5" borderId="0" xfId="2" applyFill="1" applyAlignment="1" applyProtection="1">
      <alignment horizontal="right"/>
      <protection locked="0"/>
    </xf>
    <xf numFmtId="0" fontId="121" fillId="3" borderId="0" xfId="2" applyFont="1" applyFill="1" applyProtection="1">
      <protection hidden="1"/>
    </xf>
    <xf numFmtId="2" fontId="1" fillId="3" borderId="0" xfId="2" applyNumberFormat="1" applyFont="1" applyFill="1" applyProtection="1">
      <protection hidden="1"/>
    </xf>
    <xf numFmtId="2" fontId="5" fillId="3" borderId="0" xfId="2" applyNumberFormat="1" applyFill="1" applyAlignment="1" applyProtection="1">
      <alignment horizontal="center"/>
      <protection hidden="1"/>
    </xf>
    <xf numFmtId="2" fontId="5" fillId="3" borderId="0" xfId="2" applyNumberFormat="1" applyFill="1" applyProtection="1">
      <protection hidden="1"/>
    </xf>
    <xf numFmtId="2" fontId="5" fillId="3" borderId="302" xfId="2" applyNumberFormat="1" applyFill="1" applyBorder="1" applyAlignment="1" applyProtection="1">
      <alignment vertical="top" wrapText="1"/>
      <protection hidden="1"/>
    </xf>
    <xf numFmtId="2" fontId="5" fillId="3" borderId="0" xfId="2" applyNumberFormat="1" applyFill="1" applyAlignment="1" applyProtection="1">
      <alignment vertical="top" wrapText="1"/>
      <protection hidden="1"/>
    </xf>
    <xf numFmtId="2" fontId="21" fillId="3" borderId="0" xfId="414" applyNumberFormat="1" applyFont="1" applyFill="1" applyProtection="1">
      <protection hidden="1"/>
    </xf>
    <xf numFmtId="2" fontId="5" fillId="3" borderId="0" xfId="2" applyNumberFormat="1" applyFill="1" applyBorder="1" applyProtection="1">
      <protection hidden="1"/>
    </xf>
    <xf numFmtId="0" fontId="5" fillId="2" borderId="0" xfId="2" applyFill="1" applyBorder="1" applyAlignment="1" applyProtection="1">
      <alignment vertical="top"/>
      <protection hidden="1"/>
    </xf>
    <xf numFmtId="0" fontId="5" fillId="3" borderId="302" xfId="2" applyFill="1" applyBorder="1" applyAlignment="1" applyProtection="1">
      <alignment vertical="top" wrapText="1"/>
      <protection hidden="1"/>
    </xf>
    <xf numFmtId="0" fontId="239" fillId="3" borderId="0" xfId="3" applyFont="1" applyFill="1" applyAlignment="1" applyProtection="1">
      <alignment horizontal="center" vertical="top" wrapText="1"/>
      <protection hidden="1"/>
    </xf>
    <xf numFmtId="0" fontId="99" fillId="4" borderId="0" xfId="413" applyFont="1" applyFill="1" applyProtection="1">
      <protection hidden="1"/>
    </xf>
    <xf numFmtId="0" fontId="240" fillId="3" borderId="0" xfId="413" applyFont="1" applyFill="1" applyProtection="1">
      <protection hidden="1"/>
    </xf>
    <xf numFmtId="0" fontId="241" fillId="3" borderId="0" xfId="413" applyFont="1" applyFill="1" applyAlignment="1" applyProtection="1">
      <alignment horizontal="center"/>
      <protection hidden="1"/>
    </xf>
    <xf numFmtId="0" fontId="240" fillId="3" borderId="0" xfId="413" applyFont="1" applyFill="1" applyAlignment="1" applyProtection="1">
      <alignment horizontal="left"/>
      <protection hidden="1"/>
    </xf>
    <xf numFmtId="0" fontId="242" fillId="3" borderId="0" xfId="413" applyFont="1" applyFill="1" applyAlignment="1" applyProtection="1">
      <alignment horizontal="left" textRotation="90"/>
      <protection hidden="1"/>
    </xf>
    <xf numFmtId="0" fontId="47" fillId="4" borderId="0" xfId="413" applyFont="1" applyFill="1" applyAlignment="1" applyProtection="1">
      <protection hidden="1"/>
    </xf>
    <xf numFmtId="170" fontId="45" fillId="63" borderId="0" xfId="3" applyNumberFormat="1" applyFont="1" applyFill="1" applyAlignment="1" applyProtection="1">
      <alignment horizontal="left"/>
      <protection hidden="1"/>
    </xf>
    <xf numFmtId="0" fontId="244" fillId="2" borderId="0" xfId="413" applyFont="1" applyFill="1" applyAlignment="1" applyProtection="1">
      <alignment horizontal="left" textRotation="90"/>
      <protection hidden="1"/>
    </xf>
    <xf numFmtId="0" fontId="244" fillId="3" borderId="0" xfId="413" applyFont="1" applyFill="1" applyAlignment="1" applyProtection="1">
      <alignment horizontal="left" textRotation="90"/>
      <protection hidden="1"/>
    </xf>
    <xf numFmtId="0" fontId="5" fillId="3" borderId="0" xfId="413" applyFont="1" applyFill="1" applyAlignment="1" applyProtection="1">
      <protection hidden="1"/>
    </xf>
    <xf numFmtId="0" fontId="246" fillId="3" borderId="0" xfId="413" applyFont="1" applyFill="1" applyProtection="1">
      <protection hidden="1"/>
    </xf>
    <xf numFmtId="0" fontId="246" fillId="3" borderId="0" xfId="413" applyFont="1" applyFill="1" applyAlignment="1" applyProtection="1">
      <alignment horizontal="right" vertical="center"/>
      <protection hidden="1"/>
    </xf>
    <xf numFmtId="0" fontId="1" fillId="0" borderId="0" xfId="413" applyFont="1" applyProtection="1">
      <protection hidden="1"/>
    </xf>
    <xf numFmtId="0" fontId="1" fillId="2" borderId="0" xfId="413" applyFont="1" applyFill="1" applyProtection="1">
      <protection hidden="1"/>
    </xf>
    <xf numFmtId="0" fontId="226" fillId="0" borderId="0" xfId="413" applyFont="1" applyProtection="1">
      <protection hidden="1"/>
    </xf>
    <xf numFmtId="0" fontId="179" fillId="3" borderId="0" xfId="1" applyFont="1" applyFill="1" applyAlignment="1" applyProtection="1">
      <alignment horizontal="left"/>
      <protection hidden="1"/>
    </xf>
    <xf numFmtId="0" fontId="26" fillId="3" borderId="0" xfId="2" applyFont="1" applyFill="1" applyProtection="1">
      <protection hidden="1"/>
    </xf>
    <xf numFmtId="2" fontId="152" fillId="3" borderId="0" xfId="2" applyNumberFormat="1" applyFont="1" applyFill="1" applyAlignment="1" applyProtection="1">
      <alignment horizontal="left" wrapText="1"/>
      <protection hidden="1"/>
    </xf>
    <xf numFmtId="166" fontId="5" fillId="3" borderId="365" xfId="2" applyNumberFormat="1" applyFont="1" applyFill="1" applyBorder="1" applyAlignment="1" applyProtection="1">
      <alignment horizontal="center"/>
      <protection hidden="1"/>
    </xf>
    <xf numFmtId="2" fontId="56" fillId="3" borderId="0" xfId="2" applyNumberFormat="1" applyFont="1" applyFill="1" applyAlignment="1" applyProtection="1">
      <alignment wrapText="1"/>
      <protection hidden="1"/>
    </xf>
    <xf numFmtId="0" fontId="1" fillId="0" borderId="0" xfId="426" applyFont="1" applyProtection="1">
      <protection hidden="1"/>
    </xf>
    <xf numFmtId="166" fontId="5" fillId="10" borderId="365" xfId="2" applyNumberFormat="1" applyFont="1" applyFill="1" applyBorder="1" applyAlignment="1" applyProtection="1">
      <alignment horizontal="center"/>
      <protection hidden="1"/>
    </xf>
    <xf numFmtId="166" fontId="5" fillId="0" borderId="365" xfId="413" applyNumberFormat="1" applyFont="1" applyBorder="1" applyAlignment="1" applyProtection="1">
      <alignment horizontal="center"/>
      <protection hidden="1"/>
    </xf>
    <xf numFmtId="0" fontId="5" fillId="3" borderId="386" xfId="2" applyFont="1" applyFill="1" applyBorder="1" applyAlignment="1" applyProtection="1">
      <alignment horizontal="center"/>
      <protection hidden="1"/>
    </xf>
    <xf numFmtId="0" fontId="5" fillId="3" borderId="388" xfId="2" applyFont="1" applyFill="1" applyBorder="1" applyAlignment="1" applyProtection="1">
      <alignment horizontal="center"/>
      <protection hidden="1"/>
    </xf>
    <xf numFmtId="0" fontId="56" fillId="3" borderId="0" xfId="2" applyFont="1" applyFill="1" applyProtection="1">
      <protection hidden="1"/>
    </xf>
    <xf numFmtId="166" fontId="5" fillId="3" borderId="388" xfId="2" applyNumberFormat="1" applyFont="1" applyFill="1" applyBorder="1" applyAlignment="1" applyProtection="1">
      <alignment horizontal="center"/>
      <protection hidden="1"/>
    </xf>
    <xf numFmtId="0" fontId="138" fillId="3" borderId="0" xfId="2" applyFont="1" applyFill="1" applyProtection="1">
      <protection hidden="1"/>
    </xf>
    <xf numFmtId="164" fontId="65" fillId="3" borderId="0" xfId="2" applyNumberFormat="1" applyFont="1" applyFill="1" applyProtection="1">
      <protection hidden="1"/>
    </xf>
    <xf numFmtId="0" fontId="5" fillId="0" borderId="390" xfId="413" applyFont="1" applyBorder="1" applyAlignment="1" applyProtection="1">
      <alignment horizontal="center"/>
      <protection hidden="1"/>
    </xf>
    <xf numFmtId="166" fontId="5" fillId="0" borderId="349" xfId="413" applyNumberFormat="1" applyFont="1" applyBorder="1" applyAlignment="1" applyProtection="1">
      <alignment horizontal="center"/>
      <protection hidden="1"/>
    </xf>
    <xf numFmtId="2" fontId="5" fillId="3" borderId="388" xfId="2" applyNumberFormat="1" applyFont="1" applyFill="1" applyBorder="1" applyAlignment="1" applyProtection="1">
      <alignment horizontal="center"/>
      <protection hidden="1"/>
    </xf>
    <xf numFmtId="0" fontId="5" fillId="0" borderId="388" xfId="413" applyFont="1" applyBorder="1" applyAlignment="1" applyProtection="1">
      <alignment horizontal="center"/>
      <protection hidden="1"/>
    </xf>
    <xf numFmtId="2" fontId="5" fillId="0" borderId="388" xfId="413" applyNumberFormat="1" applyFont="1" applyBorder="1" applyAlignment="1" applyProtection="1">
      <alignment horizontal="center"/>
      <protection hidden="1"/>
    </xf>
    <xf numFmtId="0" fontId="5" fillId="3" borderId="388" xfId="421" applyFont="1" applyFill="1" applyBorder="1" applyAlignment="1" applyProtection="1">
      <alignment horizontal="center"/>
      <protection hidden="1"/>
    </xf>
    <xf numFmtId="0" fontId="5" fillId="0" borderId="388" xfId="2" applyFont="1" applyBorder="1" applyAlignment="1" applyProtection="1">
      <alignment horizontal="center"/>
      <protection hidden="1"/>
    </xf>
    <xf numFmtId="166" fontId="5" fillId="0" borderId="388" xfId="413" applyNumberFormat="1" applyFont="1" applyBorder="1" applyAlignment="1" applyProtection="1">
      <alignment horizontal="center"/>
      <protection hidden="1"/>
    </xf>
    <xf numFmtId="0" fontId="32" fillId="3" borderId="0" xfId="2" applyFont="1" applyFill="1" applyAlignment="1" applyProtection="1">
      <alignment wrapText="1"/>
      <protection hidden="1"/>
    </xf>
    <xf numFmtId="0" fontId="5" fillId="3" borderId="388" xfId="413" applyFont="1" applyFill="1" applyBorder="1" applyAlignment="1" applyProtection="1">
      <alignment horizontal="center"/>
      <protection hidden="1"/>
    </xf>
    <xf numFmtId="0" fontId="1" fillId="2" borderId="0" xfId="2" applyFont="1" applyFill="1" applyAlignment="1" applyProtection="1">
      <alignment vertical="center"/>
      <protection hidden="1"/>
    </xf>
    <xf numFmtId="0" fontId="217" fillId="3" borderId="0" xfId="2" applyFont="1" applyFill="1" applyProtection="1">
      <protection hidden="1"/>
    </xf>
    <xf numFmtId="0" fontId="26" fillId="4" borderId="0" xfId="413" applyFont="1" applyFill="1" applyProtection="1">
      <protection hidden="1"/>
    </xf>
    <xf numFmtId="0" fontId="5" fillId="10" borderId="388" xfId="413" applyFont="1" applyFill="1" applyBorder="1" applyAlignment="1" applyProtection="1">
      <alignment horizontal="center"/>
      <protection hidden="1"/>
    </xf>
    <xf numFmtId="0" fontId="44" fillId="4" borderId="0" xfId="413" applyFont="1" applyFill="1" applyBorder="1" applyAlignment="1" applyProtection="1">
      <protection hidden="1"/>
    </xf>
    <xf numFmtId="0" fontId="44" fillId="4" borderId="301" xfId="413" applyFont="1" applyFill="1" applyBorder="1" applyAlignment="1" applyProtection="1">
      <protection hidden="1"/>
    </xf>
    <xf numFmtId="0" fontId="1" fillId="10" borderId="0" xfId="413" applyFont="1" applyFill="1" applyProtection="1">
      <protection hidden="1"/>
    </xf>
    <xf numFmtId="0" fontId="5" fillId="2" borderId="0" xfId="2" applyFont="1" applyFill="1" applyAlignment="1" applyProtection="1">
      <alignment horizontal="right"/>
      <protection hidden="1"/>
    </xf>
    <xf numFmtId="172" fontId="5" fillId="0" borderId="388" xfId="413" applyNumberFormat="1" applyFont="1" applyBorder="1" applyAlignment="1" applyProtection="1">
      <alignment horizontal="center"/>
      <protection hidden="1"/>
    </xf>
    <xf numFmtId="2" fontId="5" fillId="10" borderId="388" xfId="413" applyNumberFormat="1" applyFont="1" applyFill="1" applyBorder="1" applyAlignment="1" applyProtection="1">
      <alignment horizontal="center"/>
      <protection hidden="1"/>
    </xf>
    <xf numFmtId="0" fontId="1" fillId="14" borderId="0" xfId="413" applyFont="1" applyFill="1" applyProtection="1">
      <protection hidden="1"/>
    </xf>
    <xf numFmtId="0" fontId="217" fillId="3" borderId="0" xfId="413" applyFont="1" applyFill="1" applyAlignment="1" applyProtection="1">
      <alignment vertical="center"/>
      <protection hidden="1"/>
    </xf>
    <xf numFmtId="0" fontId="21" fillId="2" borderId="0" xfId="1" applyFont="1" applyFill="1" applyAlignment="1" applyProtection="1">
      <alignment horizontal="left"/>
      <protection hidden="1"/>
    </xf>
    <xf numFmtId="0" fontId="5" fillId="3" borderId="391" xfId="413" applyFont="1" applyFill="1" applyBorder="1" applyAlignment="1" applyProtection="1">
      <alignment horizontal="center"/>
      <protection hidden="1"/>
    </xf>
    <xf numFmtId="0" fontId="5" fillId="3" borderId="392" xfId="413" applyFont="1" applyFill="1" applyBorder="1" applyAlignment="1" applyProtection="1">
      <alignment horizontal="center"/>
      <protection hidden="1"/>
    </xf>
    <xf numFmtId="0" fontId="5" fillId="3" borderId="393" xfId="413" applyFont="1" applyFill="1" applyBorder="1" applyAlignment="1" applyProtection="1">
      <alignment horizontal="center"/>
      <protection hidden="1"/>
    </xf>
    <xf numFmtId="0" fontId="5" fillId="14" borderId="0" xfId="413" applyFont="1" applyFill="1" applyProtection="1">
      <protection hidden="1"/>
    </xf>
    <xf numFmtId="0" fontId="1" fillId="3" borderId="0" xfId="1" applyFont="1" applyFill="1" applyProtection="1">
      <protection hidden="1"/>
    </xf>
    <xf numFmtId="0" fontId="26" fillId="0" borderId="0" xfId="413" applyFont="1" applyAlignment="1" applyProtection="1">
      <alignment horizontal="center"/>
      <protection hidden="1"/>
    </xf>
    <xf numFmtId="0" fontId="5" fillId="3" borderId="397" xfId="1" applyFont="1" applyFill="1" applyBorder="1" applyProtection="1">
      <protection hidden="1"/>
    </xf>
    <xf numFmtId="0" fontId="5" fillId="3" borderId="400" xfId="2" applyFont="1" applyFill="1" applyBorder="1" applyAlignment="1" applyProtection="1">
      <alignment horizontal="center" wrapText="1"/>
      <protection hidden="1"/>
    </xf>
    <xf numFmtId="0" fontId="155" fillId="3" borderId="366" xfId="2" applyFont="1" applyFill="1" applyBorder="1" applyAlignment="1" applyProtection="1">
      <alignment horizontal="center"/>
      <protection hidden="1"/>
    </xf>
    <xf numFmtId="0" fontId="5" fillId="3" borderId="348" xfId="2" applyFont="1" applyFill="1" applyBorder="1" applyAlignment="1" applyProtection="1">
      <alignment horizontal="center"/>
      <protection hidden="1"/>
    </xf>
    <xf numFmtId="0" fontId="51" fillId="3" borderId="348" xfId="2" applyFont="1" applyFill="1" applyBorder="1" applyAlignment="1" applyProtection="1">
      <alignment horizontal="center"/>
      <protection hidden="1"/>
    </xf>
    <xf numFmtId="0" fontId="5" fillId="3" borderId="397" xfId="1" applyFont="1" applyFill="1" applyBorder="1" applyAlignment="1" applyProtection="1">
      <alignment horizontal="left"/>
      <protection hidden="1"/>
    </xf>
    <xf numFmtId="0" fontId="5" fillId="3" borderId="401" xfId="2" applyFont="1" applyFill="1" applyBorder="1" applyAlignment="1" applyProtection="1">
      <alignment horizontal="center"/>
      <protection hidden="1"/>
    </xf>
    <xf numFmtId="0" fontId="155" fillId="3" borderId="81" xfId="2" applyFont="1" applyFill="1" applyBorder="1" applyAlignment="1" applyProtection="1">
      <alignment horizontal="center"/>
      <protection hidden="1"/>
    </xf>
    <xf numFmtId="0" fontId="5" fillId="3" borderId="81" xfId="2" applyFont="1" applyFill="1" applyBorder="1" applyAlignment="1" applyProtection="1">
      <alignment horizontal="center"/>
      <protection hidden="1"/>
    </xf>
    <xf numFmtId="0" fontId="51" fillId="3" borderId="81" xfId="2" applyFont="1" applyFill="1" applyBorder="1" applyAlignment="1" applyProtection="1">
      <alignment horizontal="center"/>
      <protection hidden="1"/>
    </xf>
    <xf numFmtId="1" fontId="155" fillId="3" borderId="404" xfId="2" applyNumberFormat="1" applyFont="1" applyFill="1" applyBorder="1" applyAlignment="1" applyProtection="1">
      <alignment horizontal="center"/>
      <protection hidden="1"/>
    </xf>
    <xf numFmtId="1" fontId="51" fillId="3" borderId="404" xfId="2" applyNumberFormat="1" applyFont="1" applyFill="1" applyBorder="1" applyAlignment="1" applyProtection="1">
      <alignment horizontal="center"/>
      <protection hidden="1"/>
    </xf>
    <xf numFmtId="0" fontId="5" fillId="0" borderId="404" xfId="413" applyFont="1" applyBorder="1" applyAlignment="1" applyProtection="1">
      <alignment horizontal="left"/>
      <protection hidden="1"/>
    </xf>
    <xf numFmtId="0" fontId="5" fillId="0" borderId="398" xfId="413" applyFont="1" applyBorder="1" applyAlignment="1" applyProtection="1">
      <alignment horizontal="left"/>
      <protection hidden="1"/>
    </xf>
    <xf numFmtId="0" fontId="5" fillId="3" borderId="404" xfId="1" applyFont="1" applyFill="1" applyBorder="1" applyProtection="1">
      <protection hidden="1"/>
    </xf>
    <xf numFmtId="0" fontId="26" fillId="3" borderId="0" xfId="2" applyFont="1" applyFill="1" applyAlignment="1" applyProtection="1">
      <alignment horizontal="right"/>
      <protection hidden="1"/>
    </xf>
    <xf numFmtId="2" fontId="5" fillId="3" borderId="404" xfId="2" applyNumberFormat="1" applyFill="1" applyBorder="1" applyAlignment="1" applyProtection="1">
      <alignment horizontal="center"/>
      <protection hidden="1"/>
    </xf>
    <xf numFmtId="0" fontId="5" fillId="3" borderId="404" xfId="2" applyFill="1" applyBorder="1" applyAlignment="1" applyProtection="1">
      <alignment horizontal="center"/>
      <protection hidden="1"/>
    </xf>
    <xf numFmtId="1" fontId="5" fillId="3" borderId="404" xfId="2" applyNumberFormat="1" applyFill="1" applyBorder="1" applyAlignment="1" applyProtection="1">
      <alignment horizontal="center"/>
      <protection hidden="1"/>
    </xf>
    <xf numFmtId="0" fontId="250" fillId="0" borderId="406" xfId="413" applyNumberFormat="1" applyFont="1" applyFill="1" applyBorder="1" applyAlignment="1" applyProtection="1">
      <alignment horizontal="center"/>
      <protection hidden="1"/>
    </xf>
    <xf numFmtId="0" fontId="5" fillId="14" borderId="0" xfId="413" applyFont="1" applyFill="1" applyAlignment="1" applyProtection="1">
      <alignment horizontal="center"/>
      <protection hidden="1"/>
    </xf>
    <xf numFmtId="0" fontId="47" fillId="14" borderId="0" xfId="413" applyFont="1" applyFill="1" applyBorder="1" applyAlignment="1" applyProtection="1">
      <alignment horizontal="left" vertical="center" textRotation="90" wrapText="1"/>
      <protection hidden="1"/>
    </xf>
    <xf numFmtId="0" fontId="5" fillId="4" borderId="301" xfId="413" applyFont="1" applyFill="1" applyBorder="1" applyAlignment="1" applyProtection="1">
      <alignment wrapText="1"/>
      <protection hidden="1"/>
    </xf>
    <xf numFmtId="0" fontId="5" fillId="4" borderId="0" xfId="413" applyFont="1" applyFill="1" applyAlignment="1" applyProtection="1">
      <alignment horizontal="left"/>
      <protection hidden="1"/>
    </xf>
    <xf numFmtId="0" fontId="5" fillId="2" borderId="0" xfId="2" applyFill="1" applyAlignment="1" applyProtection="1">
      <alignment horizontal="center"/>
      <protection hidden="1"/>
    </xf>
    <xf numFmtId="0" fontId="5" fillId="4" borderId="0" xfId="413" applyFont="1" applyFill="1" applyBorder="1" applyAlignment="1" applyProtection="1">
      <alignment wrapText="1"/>
      <protection hidden="1"/>
    </xf>
    <xf numFmtId="164" fontId="5" fillId="0" borderId="404" xfId="413" applyNumberFormat="1" applyFont="1" applyBorder="1" applyAlignment="1" applyProtection="1">
      <alignment horizontal="center"/>
      <protection hidden="1"/>
    </xf>
    <xf numFmtId="164" fontId="52" fillId="0" borderId="406" xfId="413" applyNumberFormat="1" applyFont="1" applyBorder="1" applyAlignment="1" applyProtection="1">
      <alignment horizontal="center"/>
      <protection hidden="1"/>
    </xf>
    <xf numFmtId="164" fontId="5" fillId="14" borderId="404" xfId="2" applyNumberFormat="1" applyFont="1" applyFill="1" applyBorder="1" applyAlignment="1" applyProtection="1">
      <alignment horizontal="center"/>
      <protection hidden="1"/>
    </xf>
    <xf numFmtId="1" fontId="5" fillId="0" borderId="404" xfId="413" applyNumberFormat="1" applyFont="1" applyBorder="1" applyAlignment="1" applyProtection="1">
      <alignment horizontal="center"/>
      <protection hidden="1"/>
    </xf>
    <xf numFmtId="0" fontId="1" fillId="14" borderId="0" xfId="2" applyFont="1" applyFill="1" applyProtection="1">
      <protection hidden="1"/>
    </xf>
    <xf numFmtId="0" fontId="5" fillId="4" borderId="0" xfId="413" applyFont="1" applyFill="1" applyAlignment="1" applyProtection="1">
      <alignment horizontal="center"/>
      <protection hidden="1"/>
    </xf>
    <xf numFmtId="0" fontId="5" fillId="45" borderId="0" xfId="2" applyFill="1" applyAlignment="1" applyProtection="1">
      <alignment horizontal="center" vertical="top"/>
      <protection hidden="1"/>
    </xf>
    <xf numFmtId="0" fontId="26" fillId="2" borderId="0" xfId="2" applyFont="1" applyFill="1" applyAlignment="1" applyProtection="1">
      <alignment horizontal="right"/>
      <protection hidden="1"/>
    </xf>
    <xf numFmtId="0" fontId="59" fillId="64" borderId="0" xfId="2" applyNumberFormat="1" applyFont="1" applyFill="1" applyBorder="1" applyAlignment="1" applyProtection="1">
      <protection hidden="1"/>
    </xf>
    <xf numFmtId="0" fontId="1" fillId="3" borderId="0" xfId="424" applyFont="1" applyFill="1" applyProtection="1">
      <protection hidden="1"/>
    </xf>
    <xf numFmtId="0" fontId="51" fillId="4" borderId="302" xfId="424" applyFont="1" applyFill="1" applyBorder="1" applyAlignment="1" applyProtection="1">
      <alignment vertical="center" wrapText="1"/>
      <protection hidden="1"/>
    </xf>
    <xf numFmtId="0" fontId="51" fillId="4" borderId="0" xfId="424" applyFont="1" applyFill="1" applyBorder="1" applyAlignment="1" applyProtection="1">
      <alignment vertical="center" wrapText="1"/>
      <protection hidden="1"/>
    </xf>
    <xf numFmtId="0" fontId="1" fillId="3" borderId="0" xfId="424" applyFont="1" applyFill="1" applyAlignment="1" applyProtection="1">
      <alignment vertical="center"/>
      <protection hidden="1"/>
    </xf>
    <xf numFmtId="2" fontId="5" fillId="3" borderId="81" xfId="424" applyNumberFormat="1" applyFill="1" applyBorder="1" applyAlignment="1" applyProtection="1">
      <alignment horizontal="center"/>
      <protection hidden="1"/>
    </xf>
    <xf numFmtId="9" fontId="5" fillId="3" borderId="302" xfId="427" applyFont="1" applyFill="1" applyBorder="1" applyAlignment="1" applyProtection="1">
      <alignment vertical="center" wrapText="1"/>
      <protection hidden="1"/>
    </xf>
    <xf numFmtId="9" fontId="5" fillId="3" borderId="0" xfId="427" applyFont="1" applyFill="1" applyBorder="1" applyAlignment="1" applyProtection="1">
      <alignment vertical="center" wrapText="1"/>
      <protection hidden="1"/>
    </xf>
    <xf numFmtId="9" fontId="5" fillId="3" borderId="301" xfId="427" applyFont="1" applyFill="1" applyBorder="1" applyAlignment="1" applyProtection="1">
      <alignment vertical="center" wrapText="1"/>
      <protection hidden="1"/>
    </xf>
    <xf numFmtId="0" fontId="5" fillId="3" borderId="0" xfId="424" applyFill="1" applyProtection="1">
      <protection hidden="1"/>
    </xf>
    <xf numFmtId="164" fontId="5" fillId="0" borderId="416" xfId="413" applyNumberFormat="1" applyFont="1" applyBorder="1" applyAlignment="1" applyProtection="1">
      <alignment horizontal="center"/>
      <protection hidden="1"/>
    </xf>
    <xf numFmtId="0" fontId="252" fillId="4" borderId="302" xfId="424" applyFont="1" applyFill="1" applyBorder="1" applyAlignment="1" applyProtection="1">
      <alignment vertical="center" wrapText="1"/>
      <protection hidden="1"/>
    </xf>
    <xf numFmtId="9" fontId="5" fillId="3" borderId="0" xfId="427" applyFont="1" applyFill="1" applyAlignment="1" applyProtection="1">
      <alignment vertical="top" wrapText="1"/>
      <protection hidden="1"/>
    </xf>
    <xf numFmtId="0" fontId="44" fillId="4" borderId="301" xfId="288" applyFont="1" applyFill="1" applyBorder="1" applyAlignment="1" applyProtection="1">
      <alignment vertical="center" wrapText="1"/>
      <protection hidden="1"/>
    </xf>
    <xf numFmtId="0" fontId="9" fillId="4" borderId="0" xfId="1" applyFont="1" applyFill="1" applyBorder="1" applyAlignment="1" applyProtection="1">
      <alignment wrapText="1"/>
      <protection hidden="1"/>
    </xf>
    <xf numFmtId="0" fontId="9" fillId="4" borderId="0" xfId="1" applyFont="1" applyFill="1" applyAlignment="1" applyProtection="1">
      <alignment vertical="top" wrapText="1"/>
      <protection hidden="1"/>
    </xf>
    <xf numFmtId="0" fontId="5" fillId="4" borderId="0" xfId="424" applyFill="1" applyProtection="1">
      <protection hidden="1"/>
    </xf>
    <xf numFmtId="164" fontId="5" fillId="0" borderId="407" xfId="413" applyNumberFormat="1" applyFont="1" applyBorder="1" applyAlignment="1" applyProtection="1">
      <alignment horizontal="center"/>
      <protection hidden="1"/>
    </xf>
    <xf numFmtId="164" fontId="52" fillId="14" borderId="407" xfId="413" applyNumberFormat="1" applyFont="1" applyFill="1" applyBorder="1" applyAlignment="1" applyProtection="1">
      <alignment horizontal="center"/>
      <protection hidden="1"/>
    </xf>
    <xf numFmtId="0" fontId="21" fillId="0" borderId="421" xfId="413" applyNumberFormat="1" applyFont="1" applyBorder="1" applyAlignment="1" applyProtection="1">
      <alignment horizontal="center"/>
      <protection hidden="1"/>
    </xf>
    <xf numFmtId="0" fontId="253" fillId="0" borderId="421" xfId="413" applyNumberFormat="1" applyFont="1" applyBorder="1" applyAlignment="1" applyProtection="1">
      <alignment horizontal="center"/>
      <protection hidden="1"/>
    </xf>
    <xf numFmtId="0" fontId="5" fillId="3" borderId="0" xfId="413" applyFont="1" applyFill="1" applyAlignment="1" applyProtection="1">
      <alignment horizontal="center"/>
      <protection hidden="1"/>
    </xf>
    <xf numFmtId="0" fontId="5" fillId="10" borderId="0" xfId="2" applyFill="1" applyBorder="1" applyAlignment="1" applyProtection="1">
      <alignment horizontal="left"/>
      <protection hidden="1"/>
    </xf>
    <xf numFmtId="0" fontId="136" fillId="0" borderId="0" xfId="413" applyNumberFormat="1" applyFont="1" applyFill="1" applyBorder="1" applyAlignment="1" applyProtection="1">
      <protection hidden="1"/>
    </xf>
    <xf numFmtId="166" fontId="102" fillId="10" borderId="0" xfId="2" applyNumberFormat="1" applyFont="1" applyFill="1" applyBorder="1" applyAlignment="1" applyProtection="1">
      <alignment horizontal="center"/>
      <protection hidden="1"/>
    </xf>
    <xf numFmtId="0" fontId="5" fillId="14" borderId="0" xfId="119" applyFill="1" applyProtection="1">
      <protection hidden="1"/>
    </xf>
    <xf numFmtId="0" fontId="9" fillId="14" borderId="0" xfId="1" applyFont="1" applyFill="1" applyAlignment="1" applyProtection="1">
      <alignment horizontal="left" vertical="top" wrapText="1"/>
      <protection hidden="1"/>
    </xf>
    <xf numFmtId="0" fontId="5" fillId="4" borderId="0" xfId="2" applyFill="1" applyAlignment="1" applyProtection="1">
      <alignment horizontal="left"/>
      <protection hidden="1"/>
    </xf>
    <xf numFmtId="0" fontId="15" fillId="4" borderId="342" xfId="3" applyFont="1" applyFill="1" applyBorder="1" applyAlignment="1" applyProtection="1">
      <protection hidden="1"/>
    </xf>
    <xf numFmtId="0" fontId="15" fillId="4" borderId="0" xfId="3" applyFont="1" applyFill="1" applyBorder="1" applyAlignment="1" applyProtection="1">
      <alignment horizontal="center"/>
      <protection hidden="1"/>
    </xf>
    <xf numFmtId="0" fontId="44" fillId="64" borderId="404" xfId="2" applyNumberFormat="1" applyFont="1" applyFill="1" applyBorder="1" applyAlignment="1" applyProtection="1">
      <alignment horizontal="center"/>
      <protection hidden="1"/>
    </xf>
    <xf numFmtId="0" fontId="15" fillId="0" borderId="0" xfId="3" applyFont="1" applyAlignment="1" applyProtection="1">
      <alignment horizontal="right" vertical="top"/>
      <protection hidden="1"/>
    </xf>
    <xf numFmtId="0" fontId="5" fillId="10" borderId="302" xfId="413" applyFont="1" applyFill="1" applyBorder="1" applyAlignment="1" applyProtection="1">
      <alignment vertical="top" wrapText="1"/>
      <protection hidden="1"/>
    </xf>
    <xf numFmtId="0" fontId="47" fillId="10" borderId="0" xfId="413" applyFont="1" applyFill="1" applyAlignment="1" applyProtection="1">
      <alignment horizontal="center"/>
      <protection hidden="1"/>
    </xf>
    <xf numFmtId="2" fontId="5" fillId="0" borderId="407" xfId="413" applyNumberFormat="1" applyFont="1" applyBorder="1" applyAlignment="1" applyProtection="1">
      <alignment horizontal="center"/>
      <protection hidden="1"/>
    </xf>
    <xf numFmtId="4" fontId="5" fillId="0" borderId="193" xfId="413" applyNumberFormat="1" applyFont="1" applyBorder="1" applyAlignment="1" applyProtection="1">
      <alignment horizontal="center"/>
      <protection hidden="1"/>
    </xf>
    <xf numFmtId="2" fontId="5" fillId="14" borderId="404" xfId="426" applyNumberFormat="1" applyFont="1" applyFill="1" applyBorder="1" applyAlignment="1" applyProtection="1">
      <alignment horizontal="center"/>
      <protection hidden="1"/>
    </xf>
    <xf numFmtId="0" fontId="117" fillId="3" borderId="0" xfId="2" applyFont="1" applyFill="1" applyAlignment="1" applyProtection="1">
      <alignment vertical="top" wrapText="1"/>
      <protection hidden="1"/>
    </xf>
    <xf numFmtId="0" fontId="20" fillId="0" borderId="0" xfId="413" applyFont="1" applyProtection="1">
      <protection hidden="1"/>
    </xf>
    <xf numFmtId="171" fontId="5" fillId="3" borderId="0" xfId="2" applyNumberFormat="1" applyFill="1" applyProtection="1">
      <protection hidden="1"/>
    </xf>
    <xf numFmtId="0" fontId="5" fillId="0" borderId="404" xfId="2" applyBorder="1" applyAlignment="1" applyProtection="1">
      <alignment horizontal="center"/>
      <protection hidden="1"/>
    </xf>
    <xf numFmtId="0" fontId="27" fillId="0" borderId="404" xfId="2" applyNumberFormat="1" applyFont="1" applyFill="1" applyBorder="1" applyAlignment="1" applyProtection="1">
      <alignment horizontal="center"/>
      <protection hidden="1"/>
    </xf>
    <xf numFmtId="0" fontId="21" fillId="3" borderId="0" xfId="2" applyFont="1" applyFill="1" applyAlignment="1" applyProtection="1">
      <alignment horizontal="right"/>
      <protection hidden="1"/>
    </xf>
    <xf numFmtId="0" fontId="5" fillId="0" borderId="407" xfId="2" applyBorder="1" applyAlignment="1" applyProtection="1">
      <alignment horizontal="center"/>
      <protection hidden="1"/>
    </xf>
    <xf numFmtId="0" fontId="177" fillId="0" borderId="407" xfId="2" applyNumberFormat="1" applyFont="1" applyFill="1" applyBorder="1" applyAlignment="1" applyProtection="1">
      <alignment horizontal="center"/>
      <protection hidden="1"/>
    </xf>
    <xf numFmtId="0" fontId="5" fillId="0" borderId="405" xfId="2" applyBorder="1" applyAlignment="1" applyProtection="1">
      <alignment horizontal="center"/>
      <protection hidden="1"/>
    </xf>
    <xf numFmtId="164" fontId="5" fillId="0" borderId="404" xfId="2" applyNumberFormat="1" applyBorder="1" applyAlignment="1" applyProtection="1">
      <alignment horizontal="center"/>
      <protection hidden="1"/>
    </xf>
    <xf numFmtId="164" fontId="5" fillId="0" borderId="81" xfId="2" applyNumberFormat="1" applyBorder="1" applyAlignment="1" applyProtection="1">
      <alignment horizontal="center"/>
      <protection hidden="1"/>
    </xf>
    <xf numFmtId="0" fontId="177" fillId="0" borderId="407" xfId="2" applyFont="1" applyBorder="1" applyAlignment="1" applyProtection="1">
      <alignment horizontal="center"/>
      <protection hidden="1"/>
    </xf>
    <xf numFmtId="164" fontId="5" fillId="0" borderId="405" xfId="2" applyNumberFormat="1" applyBorder="1" applyAlignment="1" applyProtection="1">
      <alignment horizontal="center"/>
      <protection hidden="1"/>
    </xf>
    <xf numFmtId="0" fontId="117" fillId="3" borderId="0" xfId="2" applyFont="1" applyFill="1" applyAlignment="1" applyProtection="1">
      <alignment horizontal="right"/>
      <protection hidden="1"/>
    </xf>
    <xf numFmtId="0" fontId="117" fillId="2" borderId="0" xfId="2" applyFont="1" applyFill="1" applyAlignment="1" applyProtection="1">
      <alignment horizontal="right"/>
      <protection hidden="1"/>
    </xf>
    <xf numFmtId="0" fontId="1" fillId="2" borderId="0" xfId="2" applyFont="1" applyFill="1" applyBorder="1" applyProtection="1">
      <protection hidden="1"/>
    </xf>
    <xf numFmtId="0" fontId="5" fillId="4" borderId="0" xfId="413" applyFont="1" applyFill="1" applyProtection="1">
      <protection hidden="1"/>
    </xf>
    <xf numFmtId="0" fontId="14" fillId="45" borderId="0" xfId="425" applyFont="1" applyFill="1" applyAlignment="1" applyProtection="1">
      <alignment horizontal="right"/>
      <protection hidden="1"/>
    </xf>
    <xf numFmtId="0" fontId="226" fillId="14" borderId="0" xfId="413" applyFill="1" applyAlignment="1" applyProtection="1">
      <alignment horizontal="right"/>
      <protection hidden="1"/>
    </xf>
    <xf numFmtId="1" fontId="44" fillId="0" borderId="398" xfId="413" applyNumberFormat="1" applyFont="1" applyBorder="1" applyAlignment="1" applyProtection="1">
      <alignment horizontal="center"/>
      <protection hidden="1"/>
    </xf>
    <xf numFmtId="0" fontId="1" fillId="45" borderId="0" xfId="425" applyFont="1" applyFill="1" applyProtection="1">
      <protection hidden="1"/>
    </xf>
    <xf numFmtId="0" fontId="1" fillId="2" borderId="0" xfId="425" applyFont="1" applyFill="1" applyProtection="1">
      <protection hidden="1"/>
    </xf>
    <xf numFmtId="0" fontId="5" fillId="2" borderId="0" xfId="413" applyFont="1" applyFill="1" applyAlignment="1" applyProtection="1">
      <protection hidden="1"/>
    </xf>
    <xf numFmtId="0" fontId="204" fillId="4" borderId="0" xfId="2" applyFont="1" applyFill="1" applyProtection="1">
      <protection hidden="1"/>
    </xf>
    <xf numFmtId="164" fontId="51" fillId="3" borderId="398" xfId="2" applyNumberFormat="1" applyFont="1" applyFill="1" applyBorder="1" applyAlignment="1" applyProtection="1">
      <alignment horizontal="center"/>
      <protection hidden="1"/>
    </xf>
    <xf numFmtId="0" fontId="14" fillId="3" borderId="0" xfId="2" applyFont="1" applyFill="1" applyBorder="1" applyAlignment="1" applyProtection="1">
      <alignment horizontal="right"/>
      <protection hidden="1"/>
    </xf>
    <xf numFmtId="1" fontId="44" fillId="4" borderId="0" xfId="413" applyNumberFormat="1" applyFont="1" applyFill="1" applyBorder="1" applyAlignment="1" applyProtection="1">
      <alignment horizontal="center"/>
      <protection hidden="1"/>
    </xf>
    <xf numFmtId="0" fontId="46" fillId="4" borderId="0" xfId="413" applyFont="1" applyFill="1" applyBorder="1" applyAlignment="1" applyProtection="1">
      <alignment horizontal="center" vertical="top"/>
      <protection hidden="1"/>
    </xf>
    <xf numFmtId="0" fontId="262" fillId="4" borderId="0" xfId="413" applyFont="1" applyFill="1" applyBorder="1" applyAlignment="1" applyProtection="1">
      <alignment horizontal="center" vertical="top"/>
      <protection hidden="1"/>
    </xf>
    <xf numFmtId="0" fontId="5" fillId="4" borderId="398" xfId="2" applyFont="1" applyFill="1" applyBorder="1" applyAlignment="1" applyProtection="1">
      <protection hidden="1"/>
    </xf>
    <xf numFmtId="0" fontId="5" fillId="3" borderId="0" xfId="413" applyFont="1" applyFill="1" applyBorder="1" applyAlignment="1" applyProtection="1">
      <alignment vertical="top"/>
      <protection hidden="1"/>
    </xf>
    <xf numFmtId="0" fontId="5" fillId="3" borderId="0" xfId="2" applyFont="1" applyFill="1" applyBorder="1" applyProtection="1">
      <protection hidden="1"/>
    </xf>
    <xf numFmtId="0" fontId="5" fillId="2" borderId="0" xfId="2" applyFont="1" applyFill="1" applyBorder="1" applyProtection="1">
      <protection hidden="1"/>
    </xf>
    <xf numFmtId="2" fontId="5" fillId="2" borderId="398" xfId="2" applyNumberFormat="1" applyFont="1" applyFill="1" applyBorder="1" applyAlignment="1" applyProtection="1">
      <alignment horizontal="center"/>
      <protection hidden="1"/>
    </xf>
    <xf numFmtId="0" fontId="5" fillId="3" borderId="409" xfId="419" applyFont="1" applyFill="1" applyBorder="1" applyAlignment="1" applyProtection="1">
      <alignment horizontal="center" vertical="top"/>
      <protection hidden="1"/>
    </xf>
    <xf numFmtId="0" fontId="5" fillId="3" borderId="407" xfId="419" applyFont="1" applyFill="1" applyBorder="1" applyAlignment="1" applyProtection="1">
      <alignment horizontal="center" vertical="top"/>
      <protection hidden="1"/>
    </xf>
    <xf numFmtId="0" fontId="14" fillId="3" borderId="0" xfId="2" applyFont="1" applyFill="1" applyAlignment="1" applyProtection="1">
      <alignment horizontal="center" vertical="top"/>
      <protection hidden="1"/>
    </xf>
    <xf numFmtId="0" fontId="5" fillId="3" borderId="407" xfId="2" applyFill="1" applyBorder="1" applyAlignment="1" applyProtection="1">
      <alignment horizontal="center" vertical="top"/>
      <protection hidden="1"/>
    </xf>
    <xf numFmtId="0" fontId="5" fillId="3" borderId="380" xfId="2" applyFill="1" applyBorder="1" applyAlignment="1" applyProtection="1">
      <alignment horizontal="center" vertical="top"/>
      <protection hidden="1"/>
    </xf>
    <xf numFmtId="0" fontId="5" fillId="3" borderId="81" xfId="2" applyFill="1" applyBorder="1" applyAlignment="1" applyProtection="1">
      <alignment horizontal="center" vertical="top"/>
      <protection hidden="1"/>
    </xf>
    <xf numFmtId="1" fontId="44" fillId="0" borderId="405" xfId="2" applyNumberFormat="1" applyFont="1" applyBorder="1" applyAlignment="1" applyProtection="1">
      <alignment horizontal="center" vertical="top"/>
      <protection hidden="1"/>
    </xf>
    <xf numFmtId="1" fontId="5" fillId="0" borderId="398" xfId="418" applyNumberFormat="1" applyFont="1" applyBorder="1" applyAlignment="1" applyProtection="1">
      <alignment horizontal="center" vertical="top"/>
      <protection hidden="1"/>
    </xf>
    <xf numFmtId="0" fontId="5" fillId="0" borderId="405" xfId="413" applyFont="1" applyBorder="1" applyAlignment="1" applyProtection="1">
      <alignment horizontal="center" vertical="top"/>
      <protection hidden="1"/>
    </xf>
    <xf numFmtId="164" fontId="5" fillId="0" borderId="398" xfId="413" applyNumberFormat="1" applyFont="1" applyBorder="1" applyAlignment="1" applyProtection="1">
      <alignment horizontal="center" vertical="top"/>
      <protection hidden="1"/>
    </xf>
    <xf numFmtId="164" fontId="5" fillId="0" borderId="398" xfId="413" applyNumberFormat="1" applyFont="1" applyBorder="1" applyAlignment="1" applyProtection="1">
      <alignment horizontal="center"/>
      <protection hidden="1"/>
    </xf>
    <xf numFmtId="0" fontId="5" fillId="3" borderId="0" xfId="413" applyFont="1" applyFill="1" applyAlignment="1" applyProtection="1">
      <alignment vertical="top" wrapText="1"/>
      <protection hidden="1"/>
    </xf>
    <xf numFmtId="0" fontId="5" fillId="45" borderId="0" xfId="2" applyFill="1" applyAlignment="1" applyProtection="1">
      <alignment vertical="top" wrapText="1"/>
      <protection hidden="1"/>
    </xf>
    <xf numFmtId="2" fontId="5" fillId="3" borderId="0" xfId="413" applyNumberFormat="1" applyFont="1" applyFill="1" applyProtection="1">
      <protection hidden="1"/>
    </xf>
    <xf numFmtId="2" fontId="5" fillId="3" borderId="407" xfId="413" applyNumberFormat="1" applyFont="1" applyFill="1" applyBorder="1" applyAlignment="1" applyProtection="1">
      <alignment vertical="top"/>
      <protection hidden="1"/>
    </xf>
    <xf numFmtId="2" fontId="5" fillId="3" borderId="81" xfId="413" applyNumberFormat="1" applyFont="1" applyFill="1" applyBorder="1" applyAlignment="1" applyProtection="1">
      <alignment vertical="top"/>
      <protection hidden="1"/>
    </xf>
    <xf numFmtId="0" fontId="217" fillId="3" borderId="0" xfId="2" applyFont="1" applyFill="1" applyAlignment="1" applyProtection="1">
      <alignment horizontal="left" vertical="top" wrapText="1"/>
      <protection hidden="1"/>
    </xf>
    <xf numFmtId="2" fontId="5" fillId="3" borderId="81" xfId="413" applyNumberFormat="1" applyFont="1" applyFill="1" applyBorder="1" applyProtection="1">
      <protection hidden="1"/>
    </xf>
    <xf numFmtId="2" fontId="5" fillId="3" borderId="398" xfId="413" applyNumberFormat="1" applyFont="1" applyFill="1" applyBorder="1" applyProtection="1">
      <protection hidden="1"/>
    </xf>
    <xf numFmtId="164" fontId="5" fillId="2" borderId="398" xfId="413" applyNumberFormat="1" applyFont="1" applyFill="1" applyBorder="1" applyAlignment="1" applyProtection="1">
      <alignment horizontal="center"/>
      <protection hidden="1"/>
    </xf>
    <xf numFmtId="1" fontId="5" fillId="2" borderId="398" xfId="413" applyNumberFormat="1" applyFont="1" applyFill="1" applyBorder="1" applyAlignment="1" applyProtection="1">
      <alignment horizontal="center"/>
      <protection hidden="1"/>
    </xf>
    <xf numFmtId="0" fontId="15" fillId="4" borderId="342" xfId="3" applyFont="1" applyFill="1" applyBorder="1" applyAlignment="1" applyProtection="1">
      <alignment wrapText="1"/>
      <protection hidden="1"/>
    </xf>
    <xf numFmtId="0" fontId="5" fillId="14" borderId="0" xfId="2" applyFill="1" applyAlignment="1" applyProtection="1">
      <protection hidden="1"/>
    </xf>
    <xf numFmtId="0" fontId="5" fillId="14" borderId="0" xfId="2" applyFill="1" applyAlignment="1" applyProtection="1">
      <alignment horizontal="left" vertical="top"/>
      <protection hidden="1"/>
    </xf>
    <xf numFmtId="0" fontId="5" fillId="3" borderId="292" xfId="2" applyFill="1" applyBorder="1" applyAlignment="1" applyProtection="1">
      <protection hidden="1"/>
    </xf>
    <xf numFmtId="0" fontId="5" fillId="3" borderId="409" xfId="413" applyFont="1" applyFill="1" applyBorder="1" applyProtection="1">
      <protection hidden="1"/>
    </xf>
    <xf numFmtId="0" fontId="165" fillId="12" borderId="0" xfId="413" applyFont="1" applyFill="1" applyProtection="1">
      <protection hidden="1"/>
    </xf>
    <xf numFmtId="0" fontId="5" fillId="3" borderId="302" xfId="413" applyFont="1" applyFill="1" applyBorder="1" applyProtection="1">
      <protection hidden="1"/>
    </xf>
    <xf numFmtId="1" fontId="5" fillId="3" borderId="301" xfId="413" applyNumberFormat="1" applyFont="1" applyFill="1" applyBorder="1" applyAlignment="1" applyProtection="1">
      <alignment horizontal="left"/>
      <protection hidden="1"/>
    </xf>
    <xf numFmtId="164" fontId="5" fillId="3" borderId="381" xfId="2" applyNumberFormat="1" applyFill="1" applyBorder="1" applyAlignment="1" applyProtection="1">
      <alignment horizontal="left"/>
      <protection hidden="1"/>
    </xf>
    <xf numFmtId="0" fontId="5" fillId="0" borderId="380" xfId="413" applyFont="1" applyBorder="1" applyProtection="1">
      <protection hidden="1"/>
    </xf>
    <xf numFmtId="0" fontId="226" fillId="14" borderId="0" xfId="413" applyFill="1" applyProtection="1">
      <protection hidden="1"/>
    </xf>
    <xf numFmtId="0" fontId="5" fillId="14" borderId="292" xfId="413" applyFont="1" applyFill="1" applyBorder="1" applyAlignment="1" applyProtection="1">
      <protection hidden="1"/>
    </xf>
    <xf numFmtId="0" fontId="26" fillId="3" borderId="407" xfId="413" applyFont="1" applyFill="1" applyBorder="1" applyAlignment="1" applyProtection="1">
      <alignment horizontal="center"/>
      <protection hidden="1"/>
    </xf>
    <xf numFmtId="0" fontId="47" fillId="3" borderId="81" xfId="413" applyFont="1" applyFill="1" applyBorder="1" applyAlignment="1" applyProtection="1">
      <alignment horizontal="center"/>
      <protection hidden="1"/>
    </xf>
    <xf numFmtId="0" fontId="47" fillId="3" borderId="292" xfId="413" applyFont="1" applyFill="1" applyBorder="1" applyAlignment="1" applyProtection="1">
      <alignment horizontal="center"/>
      <protection hidden="1"/>
    </xf>
    <xf numFmtId="0" fontId="42" fillId="3" borderId="302" xfId="413" applyFont="1" applyFill="1" applyBorder="1" applyAlignment="1" applyProtection="1">
      <alignment horizontal="center"/>
      <protection hidden="1"/>
    </xf>
    <xf numFmtId="2" fontId="5" fillId="3" borderId="407" xfId="413" applyNumberFormat="1" applyFont="1" applyFill="1" applyBorder="1" applyAlignment="1" applyProtection="1">
      <alignment horizontal="center"/>
      <protection hidden="1"/>
    </xf>
    <xf numFmtId="0" fontId="5" fillId="3" borderId="302" xfId="2" applyFill="1" applyBorder="1" applyAlignment="1" applyProtection="1">
      <alignment horizontal="left"/>
      <protection hidden="1"/>
    </xf>
    <xf numFmtId="164" fontId="5" fillId="3" borderId="193" xfId="413" applyNumberFormat="1" applyFont="1" applyFill="1" applyBorder="1" applyAlignment="1" applyProtection="1">
      <alignment horizontal="center"/>
      <protection hidden="1"/>
    </xf>
    <xf numFmtId="0" fontId="42" fillId="3" borderId="193" xfId="413" applyFont="1" applyFill="1" applyBorder="1" applyAlignment="1" applyProtection="1">
      <alignment horizontal="center"/>
      <protection hidden="1"/>
    </xf>
    <xf numFmtId="164" fontId="56" fillId="3" borderId="193" xfId="413" applyNumberFormat="1" applyFont="1" applyFill="1" applyBorder="1" applyAlignment="1" applyProtection="1">
      <alignment horizontal="center"/>
      <protection hidden="1"/>
    </xf>
    <xf numFmtId="0" fontId="5" fillId="3" borderId="405" xfId="2" applyFill="1" applyBorder="1" applyAlignment="1" applyProtection="1">
      <alignment horizontal="left"/>
      <protection hidden="1"/>
    </xf>
    <xf numFmtId="164" fontId="5" fillId="3" borderId="398" xfId="2" applyNumberFormat="1" applyFill="1" applyBorder="1" applyAlignment="1" applyProtection="1">
      <alignment horizontal="center"/>
      <protection hidden="1"/>
    </xf>
    <xf numFmtId="164" fontId="5" fillId="3" borderId="398" xfId="413" applyNumberFormat="1" applyFont="1" applyFill="1" applyBorder="1" applyAlignment="1" applyProtection="1">
      <alignment horizontal="left"/>
      <protection hidden="1"/>
    </xf>
    <xf numFmtId="164" fontId="42" fillId="3" borderId="405" xfId="413" applyNumberFormat="1" applyFont="1" applyFill="1" applyBorder="1" applyAlignment="1" applyProtection="1">
      <alignment horizontal="center"/>
      <protection hidden="1"/>
    </xf>
    <xf numFmtId="164" fontId="42" fillId="3" borderId="398" xfId="413" applyNumberFormat="1" applyFont="1" applyFill="1" applyBorder="1" applyAlignment="1" applyProtection="1">
      <alignment horizontal="center"/>
      <protection hidden="1"/>
    </xf>
    <xf numFmtId="2" fontId="5" fillId="3" borderId="398" xfId="413" applyNumberFormat="1" applyFont="1" applyFill="1" applyBorder="1" applyAlignment="1" applyProtection="1">
      <alignment horizontal="center"/>
      <protection hidden="1"/>
    </xf>
    <xf numFmtId="0" fontId="44" fillId="4" borderId="398" xfId="413" applyFont="1" applyFill="1" applyBorder="1" applyProtection="1">
      <protection hidden="1"/>
    </xf>
    <xf numFmtId="0" fontId="5" fillId="3" borderId="0" xfId="426" applyFont="1" applyFill="1" applyAlignment="1" applyProtection="1">
      <alignment horizontal="left" vertical="top" wrapText="1"/>
      <protection hidden="1"/>
    </xf>
    <xf numFmtId="2" fontId="5" fillId="3" borderId="398" xfId="2" applyNumberFormat="1" applyFont="1" applyFill="1" applyBorder="1" applyAlignment="1" applyProtection="1">
      <alignment horizontal="center"/>
      <protection hidden="1"/>
    </xf>
    <xf numFmtId="0" fontId="47" fillId="10" borderId="0" xfId="413" applyFont="1" applyFill="1" applyAlignment="1" applyProtection="1">
      <protection hidden="1"/>
    </xf>
    <xf numFmtId="0" fontId="5" fillId="2" borderId="405" xfId="2" applyFill="1" applyBorder="1" applyAlignment="1" applyProtection="1">
      <alignment horizontal="center" wrapText="1"/>
      <protection hidden="1"/>
    </xf>
    <xf numFmtId="0" fontId="5" fillId="66" borderId="398" xfId="2" applyFill="1" applyBorder="1" applyAlignment="1" applyProtection="1">
      <alignment wrapText="1"/>
      <protection hidden="1"/>
    </xf>
    <xf numFmtId="0" fontId="5" fillId="0" borderId="398" xfId="2" applyBorder="1" applyAlignment="1" applyProtection="1">
      <alignment horizontal="center"/>
      <protection hidden="1"/>
    </xf>
    <xf numFmtId="0" fontId="5" fillId="3" borderId="398" xfId="2" applyFill="1" applyBorder="1" applyAlignment="1" applyProtection="1">
      <alignment horizontal="center" wrapText="1"/>
      <protection hidden="1"/>
    </xf>
    <xf numFmtId="0" fontId="5" fillId="2" borderId="0" xfId="426" applyFont="1" applyFill="1" applyProtection="1">
      <protection hidden="1"/>
    </xf>
    <xf numFmtId="0" fontId="5" fillId="3" borderId="398" xfId="2" applyFill="1" applyBorder="1" applyAlignment="1" applyProtection="1">
      <alignment horizontal="left" wrapText="1"/>
      <protection hidden="1"/>
    </xf>
    <xf numFmtId="164" fontId="5" fillId="3" borderId="81" xfId="2" applyNumberFormat="1" applyFill="1" applyBorder="1" applyAlignment="1" applyProtection="1">
      <alignment horizontal="center"/>
      <protection hidden="1"/>
    </xf>
    <xf numFmtId="0" fontId="5" fillId="3" borderId="399" xfId="2" applyFill="1" applyBorder="1" applyProtection="1">
      <protection hidden="1"/>
    </xf>
    <xf numFmtId="0" fontId="9" fillId="3" borderId="398" xfId="2" applyFont="1" applyFill="1" applyBorder="1" applyAlignment="1" applyProtection="1">
      <alignment horizontal="left"/>
      <protection hidden="1"/>
    </xf>
    <xf numFmtId="0" fontId="226" fillId="4" borderId="0" xfId="413" applyFill="1" applyProtection="1">
      <protection hidden="1"/>
    </xf>
    <xf numFmtId="0" fontId="5" fillId="2" borderId="0" xfId="2" applyFill="1" applyAlignment="1" applyProtection="1">
      <protection hidden="1"/>
    </xf>
    <xf numFmtId="0" fontId="1" fillId="10" borderId="0" xfId="2" applyFont="1" applyFill="1" applyProtection="1">
      <protection hidden="1"/>
    </xf>
    <xf numFmtId="0" fontId="64" fillId="4" borderId="423" xfId="413" applyFont="1" applyFill="1" applyBorder="1" applyAlignment="1" applyProtection="1">
      <alignment horizontal="center"/>
      <protection hidden="1"/>
    </xf>
    <xf numFmtId="0" fontId="44" fillId="14" borderId="423" xfId="2" applyFont="1" applyFill="1" applyBorder="1" applyAlignment="1" applyProtection="1">
      <alignment horizontal="center"/>
      <protection hidden="1"/>
    </xf>
    <xf numFmtId="0" fontId="5" fillId="10" borderId="407" xfId="2" applyFont="1" applyFill="1" applyBorder="1" applyAlignment="1" applyProtection="1">
      <alignment vertical="top"/>
      <protection hidden="1"/>
    </xf>
    <xf numFmtId="0" fontId="5" fillId="10" borderId="424" xfId="2" applyFill="1" applyBorder="1" applyAlignment="1" applyProtection="1">
      <alignment horizontal="center"/>
      <protection hidden="1"/>
    </xf>
    <xf numFmtId="0" fontId="5" fillId="10" borderId="0" xfId="2" applyFont="1" applyFill="1" applyBorder="1" applyAlignment="1" applyProtection="1">
      <alignment horizontal="center"/>
      <protection hidden="1"/>
    </xf>
    <xf numFmtId="0" fontId="5" fillId="10" borderId="425" xfId="2" applyFill="1" applyBorder="1" applyAlignment="1" applyProtection="1">
      <alignment horizontal="center"/>
      <protection hidden="1"/>
    </xf>
    <xf numFmtId="0" fontId="1" fillId="45" borderId="0" xfId="2" applyFont="1" applyFill="1" applyProtection="1">
      <protection hidden="1"/>
    </xf>
    <xf numFmtId="0" fontId="44" fillId="0" borderId="426" xfId="2" applyFont="1" applyBorder="1" applyAlignment="1" applyProtection="1">
      <alignment horizontal="center"/>
      <protection hidden="1"/>
    </xf>
    <xf numFmtId="0" fontId="44" fillId="0" borderId="427" xfId="2" applyFont="1" applyBorder="1" applyAlignment="1" applyProtection="1">
      <alignment horizontal="center"/>
      <protection hidden="1"/>
    </xf>
    <xf numFmtId="0" fontId="44" fillId="0" borderId="428" xfId="2" applyFont="1" applyBorder="1" applyAlignment="1" applyProtection="1">
      <alignment horizontal="center"/>
      <protection hidden="1"/>
    </xf>
    <xf numFmtId="0" fontId="5" fillId="10" borderId="81" xfId="2" applyFont="1" applyFill="1" applyBorder="1" applyAlignment="1" applyProtection="1">
      <alignment vertical="top"/>
      <protection hidden="1"/>
    </xf>
    <xf numFmtId="0" fontId="5" fillId="10" borderId="432" xfId="2" applyFill="1" applyBorder="1" applyAlignment="1" applyProtection="1">
      <alignment horizontal="center"/>
      <protection hidden="1"/>
    </xf>
    <xf numFmtId="0" fontId="5" fillId="10" borderId="435" xfId="2" applyFill="1" applyBorder="1" applyAlignment="1" applyProtection="1">
      <alignment horizontal="center"/>
      <protection hidden="1"/>
    </xf>
    <xf numFmtId="0" fontId="5" fillId="10" borderId="436" xfId="2" applyFill="1" applyBorder="1" applyAlignment="1" applyProtection="1">
      <alignment horizontal="center"/>
      <protection hidden="1"/>
    </xf>
    <xf numFmtId="164" fontId="5" fillId="68" borderId="432" xfId="413" applyNumberFormat="1" applyFont="1" applyFill="1" applyBorder="1" applyAlignment="1" applyProtection="1">
      <alignment horizontal="center"/>
      <protection hidden="1"/>
    </xf>
    <xf numFmtId="0" fontId="39" fillId="4" borderId="442" xfId="413" applyFont="1" applyFill="1" applyBorder="1" applyAlignment="1" applyProtection="1">
      <protection hidden="1"/>
    </xf>
    <xf numFmtId="164" fontId="5" fillId="68" borderId="186" xfId="413" applyNumberFormat="1" applyFont="1" applyFill="1" applyBorder="1" applyAlignment="1" applyProtection="1">
      <alignment horizontal="center"/>
      <protection hidden="1"/>
    </xf>
    <xf numFmtId="0" fontId="5" fillId="0" borderId="407" xfId="413" applyFont="1" applyBorder="1" applyAlignment="1" applyProtection="1">
      <alignment horizontal="left"/>
      <protection hidden="1"/>
    </xf>
    <xf numFmtId="164" fontId="44" fillId="69" borderId="443" xfId="413" applyNumberFormat="1" applyFont="1" applyFill="1" applyBorder="1" applyAlignment="1" applyProtection="1">
      <alignment horizontal="center"/>
      <protection hidden="1"/>
    </xf>
    <xf numFmtId="164" fontId="5" fillId="68" borderId="429" xfId="413" applyNumberFormat="1" applyFont="1" applyFill="1" applyBorder="1" applyAlignment="1" applyProtection="1">
      <alignment horizontal="center"/>
      <protection hidden="1"/>
    </xf>
    <xf numFmtId="0" fontId="93" fillId="4" borderId="445" xfId="413" applyFont="1" applyFill="1" applyBorder="1" applyAlignment="1" applyProtection="1">
      <protection hidden="1"/>
    </xf>
    <xf numFmtId="164" fontId="5" fillId="68" borderId="41" xfId="413" applyNumberFormat="1" applyFont="1" applyFill="1" applyBorder="1" applyAlignment="1" applyProtection="1">
      <alignment horizontal="center"/>
      <protection hidden="1"/>
    </xf>
    <xf numFmtId="0" fontId="5" fillId="26" borderId="154" xfId="2" applyFill="1" applyBorder="1" applyAlignment="1" applyProtection="1">
      <alignment horizontal="right" wrapText="1"/>
      <protection hidden="1"/>
    </xf>
    <xf numFmtId="0" fontId="105" fillId="34" borderId="154" xfId="2" applyFont="1" applyFill="1" applyBorder="1" applyAlignment="1" applyProtection="1">
      <alignment horizontal="right" wrapText="1"/>
      <protection hidden="1"/>
    </xf>
    <xf numFmtId="0" fontId="5" fillId="36" borderId="154" xfId="2" applyFill="1" applyBorder="1" applyAlignment="1" applyProtection="1">
      <alignment horizontal="right" wrapText="1"/>
      <protection hidden="1"/>
    </xf>
    <xf numFmtId="0" fontId="5" fillId="26" borderId="154" xfId="413" applyFont="1" applyFill="1" applyBorder="1" applyAlignment="1" applyProtection="1">
      <alignment horizontal="center" wrapText="1"/>
      <protection hidden="1"/>
    </xf>
    <xf numFmtId="0" fontId="16" fillId="55" borderId="81" xfId="2" applyFont="1" applyFill="1" applyBorder="1" applyAlignment="1" applyProtection="1">
      <alignment horizontal="right" wrapText="1"/>
      <protection hidden="1"/>
    </xf>
    <xf numFmtId="0" fontId="5" fillId="26" borderId="154" xfId="413" quotePrefix="1" applyFont="1" applyFill="1" applyBorder="1" applyAlignment="1" applyProtection="1">
      <alignment horizontal="center" wrapText="1"/>
      <protection hidden="1"/>
    </xf>
    <xf numFmtId="0" fontId="105" fillId="34" borderId="154" xfId="413" quotePrefix="1" applyFont="1" applyFill="1" applyBorder="1" applyAlignment="1" applyProtection="1">
      <alignment horizontal="center" wrapText="1"/>
      <protection hidden="1"/>
    </xf>
    <xf numFmtId="0" fontId="5" fillId="45" borderId="0" xfId="2" applyFont="1" applyFill="1" applyAlignment="1" applyProtection="1">
      <alignment horizontal="left"/>
      <protection hidden="1"/>
    </xf>
    <xf numFmtId="0" fontId="26" fillId="3" borderId="0" xfId="2" applyFont="1" applyFill="1" applyAlignment="1" applyProtection="1">
      <alignment horizontal="left"/>
      <protection hidden="1"/>
    </xf>
    <xf numFmtId="0" fontId="5" fillId="36" borderId="154" xfId="413" quotePrefix="1" applyFont="1" applyFill="1" applyBorder="1" applyAlignment="1" applyProtection="1">
      <alignment horizontal="center" wrapText="1"/>
      <protection hidden="1"/>
    </xf>
    <xf numFmtId="0" fontId="5" fillId="36" borderId="154" xfId="413" applyFont="1" applyFill="1" applyBorder="1" applyAlignment="1" applyProtection="1">
      <alignment horizontal="center" wrapText="1"/>
      <protection hidden="1"/>
    </xf>
    <xf numFmtId="0" fontId="16" fillId="55" borderId="154" xfId="413" quotePrefix="1" applyFont="1" applyFill="1" applyBorder="1" applyAlignment="1" applyProtection="1">
      <alignment horizontal="center" wrapText="1"/>
      <protection hidden="1"/>
    </xf>
    <xf numFmtId="0" fontId="5" fillId="3" borderId="381" xfId="2" applyFill="1" applyBorder="1" applyAlignment="1" applyProtection="1">
      <alignment horizontal="left"/>
      <protection hidden="1"/>
    </xf>
    <xf numFmtId="0" fontId="16" fillId="55" borderId="81" xfId="413" applyFont="1" applyFill="1" applyBorder="1" applyAlignment="1" applyProtection="1">
      <alignment horizontal="center" wrapText="1"/>
      <protection hidden="1"/>
    </xf>
    <xf numFmtId="0" fontId="5" fillId="3" borderId="407" xfId="2" applyFill="1" applyBorder="1" applyAlignment="1" applyProtection="1">
      <alignment horizontal="center"/>
      <protection hidden="1"/>
    </xf>
    <xf numFmtId="0" fontId="5" fillId="3" borderId="398" xfId="2" applyFill="1" applyBorder="1" applyAlignment="1" applyProtection="1">
      <alignment horizontal="center"/>
      <protection hidden="1"/>
    </xf>
    <xf numFmtId="0" fontId="14" fillId="2" borderId="0" xfId="2" applyFont="1" applyFill="1" applyAlignment="1" applyProtection="1">
      <alignment horizontal="right"/>
      <protection hidden="1"/>
    </xf>
    <xf numFmtId="0" fontId="5" fillId="3" borderId="405" xfId="2" applyFill="1" applyBorder="1" applyAlignment="1" applyProtection="1">
      <alignment horizontal="center"/>
      <protection hidden="1"/>
    </xf>
    <xf numFmtId="0" fontId="5" fillId="3" borderId="447" xfId="2" applyFill="1" applyBorder="1" applyAlignment="1" applyProtection="1">
      <alignment horizontal="center"/>
      <protection hidden="1"/>
    </xf>
    <xf numFmtId="0" fontId="5" fillId="10" borderId="398" xfId="2" applyFill="1" applyBorder="1" applyAlignment="1" applyProtection="1">
      <alignment horizontal="center"/>
      <protection hidden="1"/>
    </xf>
    <xf numFmtId="0" fontId="179" fillId="4" borderId="0" xfId="413" applyFont="1" applyFill="1" applyBorder="1" applyAlignment="1" applyProtection="1">
      <protection hidden="1"/>
    </xf>
    <xf numFmtId="0" fontId="268" fillId="14" borderId="0" xfId="413" applyFont="1" applyFill="1" applyBorder="1" applyAlignment="1" applyProtection="1">
      <protection hidden="1"/>
    </xf>
    <xf numFmtId="0" fontId="268" fillId="4" borderId="0" xfId="413" applyFont="1" applyFill="1" applyBorder="1" applyAlignment="1" applyProtection="1">
      <protection hidden="1"/>
    </xf>
    <xf numFmtId="0" fontId="268" fillId="14" borderId="0" xfId="413" applyFont="1" applyFill="1" applyBorder="1" applyAlignment="1" applyProtection="1">
      <alignment horizontal="left"/>
      <protection hidden="1"/>
    </xf>
    <xf numFmtId="0" fontId="147" fillId="4" borderId="0" xfId="2" applyFont="1" applyFill="1" applyBorder="1" applyAlignment="1" applyProtection="1">
      <alignment vertical="top" wrapText="1"/>
      <protection hidden="1"/>
    </xf>
    <xf numFmtId="0" fontId="26" fillId="0" borderId="398" xfId="413" applyFont="1" applyBorder="1" applyAlignment="1" applyProtection="1">
      <alignment horizontal="center"/>
      <protection hidden="1"/>
    </xf>
    <xf numFmtId="0" fontId="147" fillId="14" borderId="0" xfId="2" applyFont="1" applyFill="1" applyBorder="1" applyAlignment="1" applyProtection="1">
      <alignment vertical="top" wrapText="1"/>
      <protection hidden="1"/>
    </xf>
    <xf numFmtId="0" fontId="174" fillId="2" borderId="0" xfId="2" applyFont="1" applyFill="1" applyProtection="1">
      <protection hidden="1"/>
    </xf>
    <xf numFmtId="0" fontId="39" fillId="4" borderId="0" xfId="413" applyFont="1" applyFill="1" applyBorder="1" applyAlignment="1" applyProtection="1">
      <alignment vertical="top" wrapText="1"/>
      <protection hidden="1"/>
    </xf>
    <xf numFmtId="0" fontId="2" fillId="2" borderId="0" xfId="413" applyFont="1" applyFill="1" applyAlignment="1" applyProtection="1">
      <protection hidden="1"/>
    </xf>
    <xf numFmtId="0" fontId="7" fillId="4" borderId="0" xfId="413" applyFont="1" applyFill="1" applyAlignment="1" applyProtection="1">
      <protection hidden="1"/>
    </xf>
    <xf numFmtId="0" fontId="6" fillId="4" borderId="0" xfId="413" applyFont="1" applyFill="1" applyAlignment="1" applyProtection="1">
      <protection hidden="1"/>
    </xf>
    <xf numFmtId="0" fontId="1" fillId="0" borderId="0" xfId="413" applyFont="1" applyFill="1" applyBorder="1"/>
    <xf numFmtId="0" fontId="2" fillId="2" borderId="0" xfId="413" applyFont="1" applyFill="1" applyAlignment="1" applyProtection="1">
      <alignment horizontal="left"/>
      <protection hidden="1"/>
    </xf>
    <xf numFmtId="0" fontId="6" fillId="4" borderId="0" xfId="413" applyFont="1" applyFill="1" applyAlignment="1" applyProtection="1">
      <alignment horizontal="center"/>
      <protection hidden="1"/>
    </xf>
    <xf numFmtId="0" fontId="258" fillId="4" borderId="0" xfId="413" applyFont="1" applyFill="1" applyBorder="1" applyAlignment="1" applyProtection="1">
      <alignment horizontal="center"/>
      <protection hidden="1"/>
    </xf>
    <xf numFmtId="0" fontId="10" fillId="0" borderId="0" xfId="413" applyFont="1" applyBorder="1" applyAlignment="1" applyProtection="1">
      <alignment horizontal="center"/>
      <protection hidden="1"/>
    </xf>
    <xf numFmtId="0" fontId="10" fillId="0" borderId="0" xfId="413" applyFont="1" applyBorder="1" applyAlignment="1" applyProtection="1">
      <protection hidden="1"/>
    </xf>
    <xf numFmtId="164" fontId="10" fillId="0" borderId="57" xfId="413" applyNumberFormat="1" applyFont="1" applyBorder="1" applyAlignment="1" applyProtection="1">
      <alignment horizontal="center"/>
      <protection hidden="1"/>
    </xf>
    <xf numFmtId="164" fontId="10" fillId="0" borderId="56" xfId="413" applyNumberFormat="1" applyFont="1" applyBorder="1" applyAlignment="1" applyProtection="1">
      <alignment horizontal="center"/>
      <protection hidden="1"/>
    </xf>
    <xf numFmtId="1" fontId="10" fillId="0" borderId="57" xfId="413" applyNumberFormat="1" applyFont="1" applyBorder="1" applyAlignment="1" applyProtection="1">
      <alignment horizontal="center"/>
      <protection hidden="1"/>
    </xf>
    <xf numFmtId="0" fontId="10" fillId="0" borderId="56" xfId="413" applyFont="1" applyBorder="1" applyAlignment="1" applyProtection="1">
      <alignment horizontal="center"/>
      <protection hidden="1"/>
    </xf>
    <xf numFmtId="164" fontId="10" fillId="0" borderId="448" xfId="413" applyNumberFormat="1" applyFont="1" applyBorder="1" applyAlignment="1" applyProtection="1">
      <alignment horizontal="center"/>
      <protection hidden="1"/>
    </xf>
    <xf numFmtId="0" fontId="10" fillId="0" borderId="148" xfId="413" applyFont="1" applyBorder="1" applyAlignment="1" applyProtection="1">
      <alignment horizontal="center"/>
      <protection hidden="1"/>
    </xf>
    <xf numFmtId="0" fontId="10" fillId="0" borderId="301" xfId="413" applyFont="1" applyBorder="1" applyAlignment="1" applyProtection="1">
      <alignment horizontal="center"/>
      <protection hidden="1"/>
    </xf>
    <xf numFmtId="164" fontId="10" fillId="0" borderId="226" xfId="413" applyNumberFormat="1" applyFont="1" applyBorder="1" applyAlignment="1" applyProtection="1">
      <alignment horizontal="center"/>
      <protection hidden="1"/>
    </xf>
    <xf numFmtId="164" fontId="10" fillId="0" borderId="60" xfId="413" applyNumberFormat="1" applyFont="1" applyBorder="1" applyAlignment="1" applyProtection="1">
      <alignment horizontal="center"/>
      <protection hidden="1"/>
    </xf>
    <xf numFmtId="1" fontId="10" fillId="0" borderId="226" xfId="413" applyNumberFormat="1" applyFont="1" applyBorder="1" applyAlignment="1" applyProtection="1">
      <alignment horizontal="center"/>
      <protection hidden="1"/>
    </xf>
    <xf numFmtId="0" fontId="10" fillId="0" borderId="60" xfId="413" applyFont="1" applyBorder="1" applyAlignment="1" applyProtection="1">
      <alignment horizontal="center"/>
      <protection hidden="1"/>
    </xf>
    <xf numFmtId="164" fontId="10" fillId="0" borderId="187" xfId="413" applyNumberFormat="1" applyFont="1" applyBorder="1" applyAlignment="1" applyProtection="1">
      <alignment horizontal="center"/>
      <protection hidden="1"/>
    </xf>
    <xf numFmtId="0" fontId="10" fillId="0" borderId="450" xfId="413" applyFont="1" applyBorder="1" applyAlignment="1" applyProtection="1">
      <alignment horizontal="center"/>
      <protection hidden="1"/>
    </xf>
    <xf numFmtId="0" fontId="10" fillId="0" borderId="450" xfId="413" applyFont="1" applyBorder="1" applyAlignment="1" applyProtection="1">
      <protection hidden="1"/>
    </xf>
    <xf numFmtId="0" fontId="10" fillId="0" borderId="449" xfId="413" applyFont="1" applyBorder="1" applyAlignment="1" applyProtection="1">
      <alignment horizontal="center"/>
      <protection hidden="1"/>
    </xf>
    <xf numFmtId="0" fontId="10" fillId="0" borderId="451" xfId="413" applyFont="1" applyBorder="1" applyAlignment="1" applyProtection="1">
      <alignment horizontal="center"/>
      <protection hidden="1"/>
    </xf>
    <xf numFmtId="0" fontId="10" fillId="0" borderId="453" xfId="413" applyFont="1" applyBorder="1" applyAlignment="1" applyProtection="1">
      <alignment horizontal="center"/>
      <protection hidden="1"/>
    </xf>
    <xf numFmtId="0" fontId="10" fillId="0" borderId="453" xfId="413" applyFont="1" applyBorder="1" applyAlignment="1" applyProtection="1">
      <protection hidden="1"/>
    </xf>
    <xf numFmtId="0" fontId="10" fillId="0" borderId="452" xfId="413" applyFont="1" applyBorder="1" applyAlignment="1" applyProtection="1">
      <alignment horizontal="center"/>
      <protection hidden="1"/>
    </xf>
    <xf numFmtId="0" fontId="10" fillId="0" borderId="454" xfId="413" applyFont="1" applyBorder="1" applyAlignment="1" applyProtection="1">
      <alignment horizontal="center"/>
      <protection hidden="1"/>
    </xf>
    <xf numFmtId="0" fontId="10" fillId="0" borderId="455" xfId="413" applyFont="1" applyBorder="1" applyAlignment="1" applyProtection="1">
      <alignment horizontal="center"/>
      <protection hidden="1"/>
    </xf>
    <xf numFmtId="0" fontId="10" fillId="0" borderId="455" xfId="413" applyFont="1" applyBorder="1" applyAlignment="1" applyProtection="1">
      <protection hidden="1"/>
    </xf>
    <xf numFmtId="0" fontId="10" fillId="0" borderId="76" xfId="413" applyFont="1" applyBorder="1" applyAlignment="1" applyProtection="1">
      <alignment horizontal="center"/>
      <protection hidden="1"/>
    </xf>
    <xf numFmtId="0" fontId="10" fillId="0" borderId="456" xfId="413" applyFont="1" applyBorder="1" applyAlignment="1" applyProtection="1">
      <alignment horizontal="center"/>
      <protection hidden="1"/>
    </xf>
    <xf numFmtId="0" fontId="10" fillId="0" borderId="301" xfId="413" applyFont="1" applyFill="1" applyBorder="1" applyAlignment="1" applyProtection="1">
      <alignment horizontal="center"/>
      <protection hidden="1"/>
    </xf>
    <xf numFmtId="0" fontId="10" fillId="0" borderId="0" xfId="413" applyFont="1" applyFill="1" applyBorder="1" applyAlignment="1" applyProtection="1">
      <alignment horizontal="center"/>
      <protection hidden="1"/>
    </xf>
    <xf numFmtId="0" fontId="10" fillId="0" borderId="454" xfId="413" applyFont="1" applyFill="1" applyBorder="1" applyAlignment="1" applyProtection="1">
      <alignment horizontal="center"/>
      <protection hidden="1"/>
    </xf>
    <xf numFmtId="0" fontId="10" fillId="0" borderId="453" xfId="413" applyFont="1" applyFill="1" applyBorder="1" applyAlignment="1" applyProtection="1">
      <alignment horizontal="center"/>
      <protection hidden="1"/>
    </xf>
    <xf numFmtId="164" fontId="10" fillId="0" borderId="34" xfId="413" applyNumberFormat="1" applyFont="1" applyBorder="1" applyAlignment="1" applyProtection="1">
      <alignment horizontal="center"/>
      <protection hidden="1"/>
    </xf>
    <xf numFmtId="164" fontId="10" fillId="0" borderId="457" xfId="413" applyNumberFormat="1" applyFont="1" applyBorder="1" applyAlignment="1" applyProtection="1">
      <alignment horizontal="center"/>
      <protection hidden="1"/>
    </xf>
    <xf numFmtId="1" fontId="10" fillId="0" borderId="34" xfId="413" applyNumberFormat="1" applyFont="1" applyBorder="1" applyAlignment="1" applyProtection="1">
      <alignment horizontal="center"/>
      <protection hidden="1"/>
    </xf>
    <xf numFmtId="0" fontId="10" fillId="0" borderId="457" xfId="413" applyFont="1" applyBorder="1" applyAlignment="1" applyProtection="1">
      <alignment horizontal="center"/>
      <protection hidden="1"/>
    </xf>
    <xf numFmtId="164" fontId="10" fillId="0" borderId="458" xfId="413" applyNumberFormat="1" applyFont="1" applyBorder="1" applyAlignment="1" applyProtection="1">
      <alignment horizontal="center"/>
      <protection hidden="1"/>
    </xf>
    <xf numFmtId="164" fontId="10" fillId="0" borderId="459" xfId="413" applyNumberFormat="1" applyFont="1" applyBorder="1" applyAlignment="1" applyProtection="1">
      <alignment horizontal="center"/>
      <protection hidden="1"/>
    </xf>
    <xf numFmtId="164" fontId="10" fillId="0" borderId="460" xfId="413" applyNumberFormat="1" applyFont="1" applyBorder="1" applyAlignment="1" applyProtection="1">
      <alignment horizontal="center"/>
      <protection hidden="1"/>
    </xf>
    <xf numFmtId="1" fontId="10" fillId="0" borderId="459" xfId="413" applyNumberFormat="1" applyFont="1" applyBorder="1" applyAlignment="1" applyProtection="1">
      <alignment horizontal="center"/>
      <protection hidden="1"/>
    </xf>
    <xf numFmtId="0" fontId="10" fillId="0" borderId="460" xfId="413" applyFont="1" applyBorder="1" applyAlignment="1" applyProtection="1">
      <alignment horizontal="center"/>
      <protection hidden="1"/>
    </xf>
    <xf numFmtId="164" fontId="10" fillId="0" borderId="461" xfId="413" applyNumberFormat="1" applyFont="1" applyBorder="1" applyAlignment="1" applyProtection="1">
      <alignment horizontal="center"/>
      <protection hidden="1"/>
    </xf>
    <xf numFmtId="164" fontId="10" fillId="0" borderId="462" xfId="413" applyNumberFormat="1" applyFont="1" applyBorder="1" applyAlignment="1" applyProtection="1">
      <alignment horizontal="center"/>
      <protection hidden="1"/>
    </xf>
    <xf numFmtId="164" fontId="10" fillId="0" borderId="463" xfId="413" applyNumberFormat="1" applyFont="1" applyBorder="1" applyAlignment="1" applyProtection="1">
      <alignment horizontal="center"/>
      <protection hidden="1"/>
    </xf>
    <xf numFmtId="1" fontId="10" fillId="0" borderId="462" xfId="413" applyNumberFormat="1" applyFont="1" applyBorder="1" applyAlignment="1" applyProtection="1">
      <alignment horizontal="center"/>
      <protection hidden="1"/>
    </xf>
    <xf numFmtId="0" fontId="10" fillId="0" borderId="463" xfId="413" applyFont="1" applyBorder="1" applyAlignment="1" applyProtection="1">
      <alignment horizontal="center"/>
      <protection hidden="1"/>
    </xf>
    <xf numFmtId="164" fontId="10" fillId="0" borderId="464" xfId="413" applyNumberFormat="1" applyFont="1" applyBorder="1" applyAlignment="1" applyProtection="1">
      <alignment horizontal="center"/>
      <protection hidden="1"/>
    </xf>
    <xf numFmtId="164" fontId="10" fillId="0" borderId="24" xfId="413" applyNumberFormat="1" applyFont="1" applyBorder="1" applyAlignment="1" applyProtection="1">
      <alignment horizontal="center"/>
      <protection hidden="1"/>
    </xf>
    <xf numFmtId="164" fontId="10" fillId="0" borderId="239" xfId="413" applyNumberFormat="1" applyFont="1" applyBorder="1" applyAlignment="1" applyProtection="1">
      <alignment horizontal="center"/>
      <protection hidden="1"/>
    </xf>
    <xf numFmtId="1" fontId="10" fillId="0" borderId="24" xfId="413" applyNumberFormat="1" applyFont="1" applyBorder="1" applyAlignment="1" applyProtection="1">
      <alignment horizontal="center"/>
      <protection hidden="1"/>
    </xf>
    <xf numFmtId="0" fontId="10" fillId="0" borderId="239" xfId="413" applyFont="1" applyBorder="1" applyAlignment="1" applyProtection="1">
      <alignment horizontal="center"/>
      <protection hidden="1"/>
    </xf>
    <xf numFmtId="164" fontId="10" fillId="0" borderId="465" xfId="413" applyNumberFormat="1" applyFont="1" applyBorder="1" applyAlignment="1" applyProtection="1">
      <alignment horizontal="center"/>
      <protection hidden="1"/>
    </xf>
    <xf numFmtId="0" fontId="10" fillId="0" borderId="0" xfId="413" applyFont="1" applyBorder="1" applyAlignment="1" applyProtection="1">
      <alignment horizontal="left"/>
      <protection hidden="1"/>
    </xf>
    <xf numFmtId="0" fontId="10" fillId="0" borderId="453" xfId="413" applyFont="1" applyBorder="1" applyAlignment="1" applyProtection="1">
      <alignment horizontal="left"/>
      <protection hidden="1"/>
    </xf>
    <xf numFmtId="0" fontId="10" fillId="0" borderId="450" xfId="413" applyFont="1" applyBorder="1" applyAlignment="1" applyProtection="1">
      <alignment horizontal="left"/>
      <protection hidden="1"/>
    </xf>
    <xf numFmtId="0" fontId="10" fillId="0" borderId="382" xfId="413" applyFont="1" applyBorder="1" applyAlignment="1" applyProtection="1">
      <alignment horizontal="center"/>
      <protection hidden="1"/>
    </xf>
    <xf numFmtId="0" fontId="10" fillId="0" borderId="382" xfId="413" applyFont="1" applyBorder="1" applyAlignment="1" applyProtection="1">
      <protection hidden="1"/>
    </xf>
    <xf numFmtId="0" fontId="178" fillId="2" borderId="178" xfId="413" applyFont="1" applyFill="1" applyBorder="1" applyAlignment="1" applyProtection="1">
      <alignment vertical="top"/>
      <protection hidden="1"/>
    </xf>
    <xf numFmtId="0" fontId="216" fillId="2" borderId="0" xfId="2" applyFont="1" applyFill="1" applyAlignment="1" applyProtection="1">
      <protection hidden="1"/>
    </xf>
    <xf numFmtId="0" fontId="216" fillId="2" borderId="0" xfId="2" applyFont="1" applyFill="1" applyAlignment="1" applyProtection="1">
      <alignment horizontal="center"/>
      <protection hidden="1"/>
    </xf>
    <xf numFmtId="0" fontId="204" fillId="4" borderId="0" xfId="413" applyFont="1" applyFill="1" applyProtection="1">
      <protection hidden="1"/>
    </xf>
    <xf numFmtId="0" fontId="200" fillId="2" borderId="0" xfId="413" applyFont="1" applyFill="1" applyAlignment="1" applyProtection="1">
      <alignment horizontal="center"/>
      <protection hidden="1"/>
    </xf>
    <xf numFmtId="0" fontId="8" fillId="2" borderId="0" xfId="413" applyFont="1" applyFill="1" applyAlignment="1" applyProtection="1">
      <alignment horizontal="center"/>
      <protection hidden="1"/>
    </xf>
    <xf numFmtId="0" fontId="13" fillId="2" borderId="0" xfId="3" applyFont="1" applyFill="1" applyAlignment="1" applyProtection="1">
      <alignment horizontal="left"/>
      <protection hidden="1"/>
    </xf>
    <xf numFmtId="0" fontId="4" fillId="2" borderId="0" xfId="2" applyFont="1" applyFill="1" applyProtection="1">
      <protection hidden="1"/>
    </xf>
    <xf numFmtId="0" fontId="20" fillId="2" borderId="0" xfId="413" applyFont="1" applyFill="1" applyAlignment="1" applyProtection="1">
      <protection hidden="1"/>
    </xf>
    <xf numFmtId="0" fontId="26" fillId="2" borderId="0" xfId="413" applyFont="1" applyFill="1" applyAlignment="1" applyProtection="1">
      <protection hidden="1"/>
    </xf>
    <xf numFmtId="0" fontId="91" fillId="2" borderId="0" xfId="2" applyFont="1" applyFill="1" applyProtection="1">
      <protection hidden="1"/>
    </xf>
    <xf numFmtId="0" fontId="200" fillId="2" borderId="0" xfId="2" applyFont="1" applyFill="1" applyAlignment="1" applyProtection="1">
      <alignment horizontal="left"/>
      <protection hidden="1"/>
    </xf>
    <xf numFmtId="0" fontId="275" fillId="2" borderId="0" xfId="2" applyFont="1" applyFill="1" applyAlignment="1" applyProtection="1">
      <protection hidden="1"/>
    </xf>
    <xf numFmtId="0" fontId="146" fillId="2" borderId="0" xfId="2" applyFont="1" applyFill="1" applyAlignment="1" applyProtection="1">
      <alignment horizontal="left"/>
      <protection hidden="1"/>
    </xf>
    <xf numFmtId="0" fontId="1" fillId="2" borderId="0" xfId="2" applyFont="1" applyFill="1" applyAlignment="1" applyProtection="1">
      <protection hidden="1"/>
    </xf>
    <xf numFmtId="0" fontId="44" fillId="2" borderId="0" xfId="2" applyFont="1" applyFill="1" applyAlignment="1" applyProtection="1">
      <protection hidden="1"/>
    </xf>
    <xf numFmtId="0" fontId="44" fillId="2" borderId="0" xfId="2" applyFont="1" applyFill="1" applyAlignment="1" applyProtection="1">
      <alignment horizontal="left"/>
      <protection hidden="1"/>
    </xf>
    <xf numFmtId="0" fontId="91" fillId="2" borderId="0" xfId="2" applyFont="1" applyFill="1" applyAlignment="1" applyProtection="1">
      <alignment horizontal="center"/>
      <protection hidden="1"/>
    </xf>
    <xf numFmtId="0" fontId="146" fillId="2" borderId="0" xfId="2" applyFont="1" applyFill="1" applyProtection="1">
      <protection hidden="1"/>
    </xf>
    <xf numFmtId="49" fontId="1" fillId="4" borderId="0" xfId="2" applyNumberFormat="1" applyFont="1" applyFill="1" applyProtection="1">
      <protection hidden="1"/>
    </xf>
    <xf numFmtId="0" fontId="20" fillId="4" borderId="0" xfId="413" applyFont="1" applyFill="1" applyProtection="1">
      <protection hidden="1"/>
    </xf>
    <xf numFmtId="0" fontId="20" fillId="0" borderId="0" xfId="413" applyFont="1"/>
    <xf numFmtId="164" fontId="5" fillId="3" borderId="178" xfId="6" applyNumberFormat="1" applyFont="1" applyFill="1" applyBorder="1" applyAlignment="1" applyProtection="1">
      <protection hidden="1"/>
    </xf>
    <xf numFmtId="0" fontId="11" fillId="3" borderId="0" xfId="428" applyFont="1" applyFill="1" applyProtection="1">
      <protection hidden="1"/>
    </xf>
    <xf numFmtId="0" fontId="1" fillId="3" borderId="0" xfId="428" applyFont="1" applyFill="1" applyAlignment="1" applyProtection="1">
      <alignment horizontal="center"/>
      <protection hidden="1"/>
    </xf>
    <xf numFmtId="0" fontId="90" fillId="3" borderId="0" xfId="1" applyFont="1" applyFill="1" applyAlignment="1" applyProtection="1">
      <alignment horizontal="right"/>
      <protection hidden="1"/>
    </xf>
    <xf numFmtId="0" fontId="1" fillId="0" borderId="0" xfId="428" applyFont="1"/>
    <xf numFmtId="0" fontId="1" fillId="3" borderId="0" xfId="1" applyFill="1" applyAlignment="1" applyProtection="1">
      <alignment horizontal="center"/>
      <protection hidden="1"/>
    </xf>
    <xf numFmtId="0" fontId="48" fillId="3" borderId="0" xfId="1" applyFont="1" applyFill="1" applyAlignment="1" applyProtection="1">
      <protection hidden="1"/>
    </xf>
    <xf numFmtId="0" fontId="124" fillId="3" borderId="0" xfId="428" applyFont="1" applyFill="1" applyAlignment="1" applyProtection="1">
      <alignment horizontal="right"/>
      <protection hidden="1"/>
    </xf>
    <xf numFmtId="166" fontId="1" fillId="5" borderId="85" xfId="1" applyNumberFormat="1" applyFill="1" applyBorder="1" applyAlignment="1" applyProtection="1">
      <alignment horizontal="center" wrapText="1"/>
      <protection hidden="1"/>
    </xf>
    <xf numFmtId="0" fontId="1" fillId="2" borderId="0" xfId="1" applyFill="1" applyAlignment="1" applyProtection="1">
      <alignment horizontal="center"/>
      <protection hidden="1"/>
    </xf>
    <xf numFmtId="0" fontId="94" fillId="3" borderId="0" xfId="2" applyFont="1" applyFill="1" applyAlignment="1" applyProtection="1">
      <alignment wrapText="1"/>
      <protection hidden="1"/>
    </xf>
    <xf numFmtId="0" fontId="1" fillId="3" borderId="0" xfId="1" applyFill="1" applyAlignment="1" applyProtection="1">
      <alignment horizontal="right"/>
      <protection hidden="1"/>
    </xf>
    <xf numFmtId="0" fontId="1" fillId="5" borderId="85" xfId="1" applyFill="1" applyBorder="1" applyAlignment="1" applyProtection="1">
      <alignment horizontal="center"/>
      <protection locked="0"/>
    </xf>
    <xf numFmtId="0" fontId="278" fillId="2" borderId="0" xfId="1" applyFont="1" applyFill="1" applyAlignment="1" applyProtection="1">
      <alignment vertical="center" wrapText="1"/>
      <protection hidden="1"/>
    </xf>
    <xf numFmtId="0" fontId="278" fillId="3" borderId="0" xfId="1" applyFont="1" applyFill="1" applyAlignment="1" applyProtection="1">
      <alignment vertical="center" wrapText="1"/>
      <protection hidden="1"/>
    </xf>
    <xf numFmtId="0" fontId="140" fillId="3" borderId="0" xfId="2" applyFont="1" applyFill="1" applyAlignment="1" applyProtection="1">
      <alignment horizontal="right" vertical="center" textRotation="90"/>
      <protection hidden="1"/>
    </xf>
    <xf numFmtId="0" fontId="8" fillId="3" borderId="0" xfId="1" applyFont="1" applyFill="1" applyAlignment="1" applyProtection="1">
      <alignment vertical="center"/>
      <protection hidden="1"/>
    </xf>
    <xf numFmtId="0" fontId="20" fillId="3" borderId="0" xfId="1" applyFont="1" applyFill="1" applyBorder="1" applyAlignment="1" applyProtection="1">
      <protection hidden="1"/>
    </xf>
    <xf numFmtId="0" fontId="1" fillId="3" borderId="0" xfId="1" applyFill="1" applyBorder="1" applyAlignment="1" applyProtection="1">
      <alignment vertical="top" wrapText="1"/>
      <protection hidden="1"/>
    </xf>
    <xf numFmtId="0" fontId="1" fillId="3" borderId="301" xfId="1" applyFill="1" applyBorder="1" applyAlignment="1" applyProtection="1">
      <alignment vertical="top" wrapText="1"/>
      <protection hidden="1"/>
    </xf>
    <xf numFmtId="0" fontId="174" fillId="3" borderId="0" xfId="1" applyFont="1" applyFill="1" applyProtection="1">
      <protection hidden="1"/>
    </xf>
    <xf numFmtId="0" fontId="174" fillId="3" borderId="0" xfId="1" applyFont="1" applyFill="1" applyAlignment="1" applyProtection="1">
      <alignment wrapText="1"/>
      <protection hidden="1"/>
    </xf>
    <xf numFmtId="0" fontId="136" fillId="3" borderId="0" xfId="1" applyFont="1" applyFill="1" applyProtection="1">
      <protection hidden="1"/>
    </xf>
    <xf numFmtId="0" fontId="136" fillId="3" borderId="0" xfId="1" applyFont="1" applyFill="1" applyAlignment="1" applyProtection="1">
      <alignment horizontal="center" wrapText="1"/>
      <protection hidden="1"/>
    </xf>
    <xf numFmtId="0" fontId="136" fillId="0" borderId="0" xfId="2" applyFont="1" applyProtection="1">
      <protection hidden="1"/>
    </xf>
    <xf numFmtId="164" fontId="136" fillId="3" borderId="0" xfId="1" applyNumberFormat="1" applyFont="1" applyFill="1" applyProtection="1">
      <protection hidden="1"/>
    </xf>
    <xf numFmtId="1" fontId="136" fillId="3" borderId="0" xfId="1" applyNumberFormat="1" applyFont="1" applyFill="1" applyProtection="1">
      <protection hidden="1"/>
    </xf>
    <xf numFmtId="0" fontId="1" fillId="3" borderId="0" xfId="1" applyFont="1" applyFill="1" applyBorder="1" applyAlignment="1" applyProtection="1">
      <protection hidden="1"/>
    </xf>
    <xf numFmtId="164" fontId="279" fillId="3" borderId="0" xfId="1" applyNumberFormat="1" applyFont="1" applyFill="1" applyProtection="1">
      <protection hidden="1"/>
    </xf>
    <xf numFmtId="0" fontId="136" fillId="3" borderId="0" xfId="1" applyFont="1" applyFill="1" applyAlignment="1" applyProtection="1">
      <alignment wrapText="1"/>
      <protection hidden="1"/>
    </xf>
    <xf numFmtId="0" fontId="136" fillId="3" borderId="0" xfId="2" applyFont="1" applyFill="1" applyProtection="1">
      <protection hidden="1"/>
    </xf>
    <xf numFmtId="0" fontId="136" fillId="3" borderId="0" xfId="2" applyFont="1" applyFill="1" applyAlignment="1" applyProtection="1">
      <alignment horizontal="right"/>
      <protection hidden="1"/>
    </xf>
    <xf numFmtId="0" fontId="118" fillId="3" borderId="0" xfId="2" applyFont="1" applyFill="1" applyAlignment="1" applyProtection="1">
      <alignment horizontal="right"/>
      <protection hidden="1"/>
    </xf>
    <xf numFmtId="0" fontId="8" fillId="3" borderId="0" xfId="1" applyFont="1" applyFill="1" applyAlignment="1" applyProtection="1">
      <alignment horizontal="right" wrapText="1"/>
      <protection hidden="1"/>
    </xf>
    <xf numFmtId="0" fontId="1" fillId="3" borderId="0" xfId="1" applyFill="1" applyAlignment="1" applyProtection="1">
      <alignment wrapText="1"/>
      <protection hidden="1"/>
    </xf>
    <xf numFmtId="0" fontId="2" fillId="3" borderId="0" xfId="1" applyFont="1" applyFill="1" applyBorder="1" applyAlignment="1" applyProtection="1">
      <alignment wrapText="1"/>
      <protection hidden="1"/>
    </xf>
    <xf numFmtId="0" fontId="71" fillId="3" borderId="0" xfId="1" applyFont="1" applyFill="1" applyBorder="1" applyAlignment="1" applyProtection="1">
      <protection hidden="1"/>
    </xf>
    <xf numFmtId="0" fontId="78" fillId="3" borderId="0" xfId="2" applyFont="1" applyFill="1" applyAlignment="1" applyProtection="1">
      <protection hidden="1"/>
    </xf>
    <xf numFmtId="0" fontId="5" fillId="0" borderId="152" xfId="198" applyFont="1" applyBorder="1" applyProtection="1">
      <protection hidden="1"/>
    </xf>
    <xf numFmtId="0" fontId="1" fillId="0" borderId="0" xfId="413" applyFont="1"/>
    <xf numFmtId="0" fontId="5" fillId="0" borderId="405" xfId="413" applyFont="1" applyBorder="1" applyAlignment="1" applyProtection="1">
      <alignment horizontal="center"/>
      <protection hidden="1"/>
    </xf>
    <xf numFmtId="0" fontId="5" fillId="3" borderId="398" xfId="2" applyFont="1" applyFill="1" applyBorder="1" applyAlignment="1" applyProtection="1">
      <alignment horizontal="center"/>
      <protection hidden="1"/>
    </xf>
    <xf numFmtId="0" fontId="5" fillId="4" borderId="0" xfId="413" applyFont="1" applyFill="1" applyAlignment="1" applyProtection="1">
      <alignment vertical="top" wrapText="1"/>
      <protection hidden="1"/>
    </xf>
    <xf numFmtId="0" fontId="5" fillId="0" borderId="398" xfId="413" applyFont="1" applyBorder="1" applyAlignment="1" applyProtection="1">
      <alignment horizontal="center"/>
      <protection hidden="1"/>
    </xf>
    <xf numFmtId="2" fontId="5" fillId="0" borderId="404" xfId="413" applyNumberFormat="1" applyFont="1" applyBorder="1" applyAlignment="1" applyProtection="1">
      <alignment horizontal="center"/>
      <protection hidden="1"/>
    </xf>
    <xf numFmtId="4" fontId="5" fillId="0" borderId="81" xfId="413" applyNumberFormat="1" applyFont="1" applyBorder="1" applyAlignment="1" applyProtection="1">
      <alignment horizontal="center"/>
      <protection hidden="1"/>
    </xf>
    <xf numFmtId="0" fontId="5" fillId="0" borderId="404" xfId="413" applyFont="1" applyBorder="1" applyAlignment="1" applyProtection="1">
      <alignment horizontal="center"/>
      <protection hidden="1"/>
    </xf>
    <xf numFmtId="0" fontId="5" fillId="4" borderId="0" xfId="413" applyFont="1" applyFill="1" applyBorder="1" applyAlignment="1" applyProtection="1">
      <alignment horizontal="left"/>
      <protection hidden="1"/>
    </xf>
    <xf numFmtId="0" fontId="5" fillId="3" borderId="365" xfId="2" applyFont="1" applyFill="1" applyBorder="1" applyAlignment="1" applyProtection="1">
      <alignment horizontal="center"/>
      <protection hidden="1"/>
    </xf>
    <xf numFmtId="0" fontId="1" fillId="0" borderId="0" xfId="413" applyFont="1"/>
    <xf numFmtId="0" fontId="5" fillId="4" borderId="0" xfId="2" applyFill="1" applyAlignment="1" applyProtection="1">
      <alignment horizontal="right"/>
      <protection hidden="1"/>
    </xf>
    <xf numFmtId="0" fontId="1" fillId="0" borderId="0" xfId="413" applyFont="1"/>
    <xf numFmtId="0" fontId="1" fillId="3" borderId="0" xfId="411" applyFill="1" applyAlignment="1" applyProtection="1">
      <alignment horizontal="center"/>
      <protection hidden="1"/>
    </xf>
    <xf numFmtId="166" fontId="216" fillId="4" borderId="0" xfId="411" applyNumberFormat="1" applyFont="1" applyFill="1" applyAlignment="1" applyProtection="1">
      <protection hidden="1"/>
    </xf>
    <xf numFmtId="0" fontId="1" fillId="2" borderId="0" xfId="411" applyFill="1" applyProtection="1">
      <protection hidden="1"/>
    </xf>
    <xf numFmtId="166" fontId="1" fillId="2" borderId="0" xfId="411" applyNumberFormat="1" applyFill="1" applyProtection="1">
      <protection hidden="1"/>
    </xf>
    <xf numFmtId="0" fontId="5" fillId="4" borderId="0" xfId="411" applyFont="1" applyFill="1" applyProtection="1">
      <protection hidden="1"/>
    </xf>
    <xf numFmtId="166" fontId="5" fillId="4" borderId="0" xfId="411" applyNumberFormat="1" applyFont="1" applyFill="1" applyProtection="1">
      <protection hidden="1"/>
    </xf>
    <xf numFmtId="166" fontId="1" fillId="2" borderId="0" xfId="411" applyNumberFormat="1" applyFill="1" applyAlignment="1" applyProtection="1">
      <alignment horizontal="left" vertical="center" wrapText="1"/>
      <protection hidden="1"/>
    </xf>
    <xf numFmtId="0" fontId="8" fillId="4" borderId="0" xfId="198" applyFont="1" applyFill="1" applyProtection="1">
      <protection hidden="1"/>
    </xf>
    <xf numFmtId="1" fontId="5" fillId="3" borderId="0" xfId="2" applyNumberFormat="1" applyFill="1" applyBorder="1" applyAlignment="1" applyProtection="1">
      <protection hidden="1"/>
    </xf>
    <xf numFmtId="0" fontId="5" fillId="3" borderId="0" xfId="2" applyFill="1" applyAlignment="1" applyProtection="1">
      <alignment vertical="top" wrapText="1"/>
      <protection hidden="1"/>
    </xf>
    <xf numFmtId="0" fontId="15" fillId="3" borderId="0" xfId="3" applyFont="1" applyFill="1" applyAlignment="1" applyProtection="1">
      <alignment horizontal="left"/>
      <protection hidden="1"/>
    </xf>
    <xf numFmtId="0" fontId="1" fillId="3" borderId="0" xfId="429" applyFont="1" applyFill="1" applyProtection="1">
      <protection hidden="1"/>
    </xf>
    <xf numFmtId="0" fontId="6" fillId="3" borderId="0" xfId="429" applyFont="1" applyFill="1" applyAlignment="1" applyProtection="1">
      <alignment vertical="center"/>
      <protection hidden="1"/>
    </xf>
    <xf numFmtId="0" fontId="227" fillId="3" borderId="0" xfId="429" applyFont="1" applyFill="1" applyAlignment="1" applyProtection="1">
      <alignment horizontal="center" vertical="center"/>
      <protection hidden="1"/>
    </xf>
    <xf numFmtId="0" fontId="227" fillId="3" borderId="0" xfId="429" applyFont="1" applyFill="1" applyAlignment="1" applyProtection="1">
      <alignment horizontal="center"/>
      <protection hidden="1"/>
    </xf>
    <xf numFmtId="0" fontId="5" fillId="0" borderId="0" xfId="429" applyFont="1" applyAlignment="1" applyProtection="1">
      <alignment horizontal="center"/>
      <protection hidden="1"/>
    </xf>
    <xf numFmtId="0" fontId="1" fillId="0" borderId="0" xfId="429" applyFont="1"/>
    <xf numFmtId="0" fontId="11" fillId="3" borderId="0" xfId="429" applyFont="1" applyFill="1" applyProtection="1">
      <protection hidden="1"/>
    </xf>
    <xf numFmtId="0" fontId="5" fillId="3" borderId="0" xfId="429" applyFont="1" applyFill="1" applyProtection="1">
      <protection hidden="1"/>
    </xf>
    <xf numFmtId="0" fontId="5" fillId="5" borderId="172" xfId="2" applyFill="1" applyBorder="1" applyAlignment="1" applyProtection="1">
      <alignment horizontal="center"/>
      <protection locked="0"/>
    </xf>
    <xf numFmtId="0" fontId="5" fillId="3" borderId="0" xfId="429" applyFont="1" applyFill="1" applyBorder="1" applyProtection="1">
      <protection hidden="1"/>
    </xf>
    <xf numFmtId="0" fontId="5" fillId="0" borderId="0" xfId="429" applyFont="1" applyProtection="1">
      <protection hidden="1"/>
    </xf>
    <xf numFmtId="0" fontId="5" fillId="3" borderId="0" xfId="429" applyFont="1" applyFill="1" applyBorder="1" applyAlignment="1" applyProtection="1">
      <alignment horizontal="center" wrapText="1"/>
      <protection hidden="1"/>
    </xf>
    <xf numFmtId="0" fontId="5" fillId="4" borderId="0" xfId="429" applyFont="1" applyFill="1" applyAlignment="1" applyProtection="1">
      <protection hidden="1"/>
    </xf>
    <xf numFmtId="0" fontId="1" fillId="4" borderId="0" xfId="429" applyFont="1" applyFill="1" applyAlignment="1" applyProtection="1">
      <protection hidden="1"/>
    </xf>
    <xf numFmtId="0" fontId="204" fillId="62" borderId="0" xfId="429" applyFont="1" applyFill="1" applyAlignment="1" applyProtection="1">
      <alignment horizontal="center"/>
      <protection hidden="1"/>
    </xf>
    <xf numFmtId="0" fontId="1" fillId="4" borderId="0" xfId="429" applyFont="1" applyFill="1" applyProtection="1">
      <protection hidden="1"/>
    </xf>
    <xf numFmtId="171" fontId="5" fillId="0" borderId="0" xfId="429" applyNumberFormat="1" applyFont="1" applyProtection="1">
      <protection hidden="1"/>
    </xf>
    <xf numFmtId="1" fontId="52" fillId="3" borderId="171" xfId="429" applyNumberFormat="1" applyFont="1" applyFill="1" applyBorder="1" applyAlignment="1" applyProtection="1">
      <alignment horizontal="center"/>
      <protection hidden="1"/>
    </xf>
    <xf numFmtId="2" fontId="5" fillId="0" borderId="0" xfId="429" applyNumberFormat="1" applyFont="1" applyProtection="1">
      <protection hidden="1"/>
    </xf>
    <xf numFmtId="2" fontId="5" fillId="0" borderId="302" xfId="429" applyNumberFormat="1" applyFont="1" applyBorder="1" applyProtection="1">
      <protection hidden="1"/>
    </xf>
    <xf numFmtId="0" fontId="5" fillId="0" borderId="0" xfId="429" applyFont="1" applyFill="1" applyProtection="1">
      <protection hidden="1"/>
    </xf>
    <xf numFmtId="0" fontId="5" fillId="4" borderId="0" xfId="429" applyFont="1" applyFill="1" applyAlignment="1" applyProtection="1">
      <alignment vertical="center" wrapText="1"/>
      <protection hidden="1"/>
    </xf>
    <xf numFmtId="0" fontId="237" fillId="4" borderId="0" xfId="429" applyFont="1" applyFill="1" applyBorder="1" applyAlignment="1" applyProtection="1">
      <alignment horizontal="right"/>
      <protection hidden="1"/>
    </xf>
    <xf numFmtId="2" fontId="5" fillId="3" borderId="0" xfId="429" applyNumberFormat="1" applyFont="1" applyFill="1" applyBorder="1" applyAlignment="1" applyProtection="1">
      <alignment horizontal="right" vertical="top"/>
      <protection hidden="1"/>
    </xf>
    <xf numFmtId="0" fontId="70" fillId="3" borderId="0" xfId="429" applyFont="1" applyFill="1" applyAlignment="1" applyProtection="1">
      <alignment horizontal="center" wrapText="1"/>
      <protection hidden="1"/>
    </xf>
    <xf numFmtId="0" fontId="9" fillId="3" borderId="0" xfId="429" applyFont="1" applyFill="1" applyAlignment="1" applyProtection="1">
      <alignment horizontal="left"/>
      <protection hidden="1"/>
    </xf>
    <xf numFmtId="0" fontId="6" fillId="3" borderId="0" xfId="429" applyFont="1" applyFill="1" applyAlignment="1" applyProtection="1">
      <alignment vertical="center" wrapText="1"/>
      <protection hidden="1"/>
    </xf>
    <xf numFmtId="0" fontId="217" fillId="3" borderId="0" xfId="1" applyFont="1" applyFill="1" applyAlignment="1" applyProtection="1">
      <protection hidden="1"/>
    </xf>
    <xf numFmtId="2" fontId="1" fillId="2" borderId="0" xfId="2" applyNumberFormat="1" applyFont="1" applyFill="1" applyProtection="1">
      <protection hidden="1"/>
    </xf>
    <xf numFmtId="171" fontId="5" fillId="4" borderId="0" xfId="2" applyNumberFormat="1" applyFont="1" applyFill="1" applyProtection="1">
      <protection hidden="1"/>
    </xf>
    <xf numFmtId="0" fontId="5" fillId="2" borderId="0" xfId="2" applyFont="1" applyFill="1" applyAlignment="1" applyProtection="1">
      <alignment horizontal="center"/>
      <protection hidden="1"/>
    </xf>
    <xf numFmtId="2" fontId="5" fillId="0" borderId="0" xfId="2" applyNumberFormat="1" applyBorder="1" applyProtection="1">
      <protection hidden="1"/>
    </xf>
    <xf numFmtId="2" fontId="34" fillId="59" borderId="0" xfId="2" applyNumberFormat="1" applyFont="1" applyFill="1" applyBorder="1" applyProtection="1">
      <protection hidden="1"/>
    </xf>
    <xf numFmtId="2" fontId="5" fillId="0" borderId="0" xfId="2" applyNumberFormat="1" applyFont="1" applyBorder="1" applyProtection="1">
      <protection hidden="1"/>
    </xf>
    <xf numFmtId="0" fontId="5" fillId="2" borderId="302" xfId="429" applyFont="1" applyFill="1" applyBorder="1" applyAlignment="1" applyProtection="1">
      <protection hidden="1"/>
    </xf>
    <xf numFmtId="0" fontId="5" fillId="2" borderId="0" xfId="429" applyFont="1" applyFill="1" applyBorder="1" applyAlignment="1" applyProtection="1">
      <protection hidden="1"/>
    </xf>
    <xf numFmtId="0" fontId="5" fillId="2" borderId="0" xfId="429" applyFont="1" applyFill="1" applyBorder="1" applyProtection="1">
      <protection hidden="1"/>
    </xf>
    <xf numFmtId="0" fontId="52" fillId="2" borderId="0" xfId="2" applyFont="1" applyFill="1" applyAlignment="1" applyProtection="1">
      <alignment horizontal="left"/>
      <protection hidden="1"/>
    </xf>
    <xf numFmtId="166" fontId="5" fillId="4" borderId="115" xfId="2" applyNumberFormat="1" applyFill="1" applyBorder="1" applyAlignment="1" applyProtection="1">
      <alignment horizontal="center"/>
      <protection hidden="1"/>
    </xf>
    <xf numFmtId="0" fontId="5" fillId="13" borderId="115" xfId="2" applyNumberFormat="1" applyFont="1" applyFill="1" applyBorder="1" applyAlignment="1" applyProtection="1">
      <alignment horizontal="center"/>
      <protection locked="0"/>
    </xf>
    <xf numFmtId="0" fontId="5" fillId="3" borderId="115" xfId="2" applyFill="1" applyBorder="1" applyAlignment="1" applyProtection="1">
      <alignment horizontal="center"/>
      <protection hidden="1"/>
    </xf>
    <xf numFmtId="0" fontId="5" fillId="10" borderId="115" xfId="2" applyFont="1" applyFill="1" applyBorder="1" applyAlignment="1" applyProtection="1">
      <alignment horizontal="center"/>
      <protection hidden="1"/>
    </xf>
    <xf numFmtId="0" fontId="5" fillId="4" borderId="115" xfId="2" applyNumberFormat="1" applyFont="1" applyFill="1" applyBorder="1" applyAlignment="1" applyProtection="1">
      <alignment horizontal="center"/>
      <protection hidden="1"/>
    </xf>
    <xf numFmtId="0" fontId="5" fillId="3" borderId="0" xfId="1" applyFont="1" applyFill="1" applyAlignment="1" applyProtection="1">
      <alignment horizontal="center"/>
      <protection hidden="1"/>
    </xf>
    <xf numFmtId="2" fontId="5" fillId="3" borderId="115" xfId="2" applyNumberFormat="1" applyFont="1" applyFill="1" applyBorder="1" applyAlignment="1" applyProtection="1">
      <alignment horizontal="center"/>
      <protection hidden="1"/>
    </xf>
    <xf numFmtId="0" fontId="141" fillId="3" borderId="0" xfId="1" applyFont="1" applyFill="1" applyAlignment="1" applyProtection="1">
      <alignment horizontal="center"/>
      <protection hidden="1"/>
    </xf>
    <xf numFmtId="0" fontId="21" fillId="3" borderId="115" xfId="1" applyFont="1" applyFill="1" applyBorder="1" applyAlignment="1" applyProtection="1">
      <alignment horizontal="right"/>
      <protection hidden="1"/>
    </xf>
    <xf numFmtId="0" fontId="5" fillId="4" borderId="47" xfId="1" applyFont="1" applyFill="1" applyBorder="1" applyAlignment="1" applyProtection="1">
      <alignment horizontal="left"/>
      <protection hidden="1"/>
    </xf>
    <xf numFmtId="0" fontId="1" fillId="3" borderId="0" xfId="2" applyFont="1" applyFill="1" applyAlignment="1" applyProtection="1">
      <alignment horizontal="left"/>
      <protection hidden="1"/>
    </xf>
    <xf numFmtId="0" fontId="1" fillId="2" borderId="0" xfId="2" applyFont="1" applyFill="1" applyAlignment="1" applyProtection="1">
      <alignment horizontal="right"/>
      <protection hidden="1"/>
    </xf>
    <xf numFmtId="0" fontId="93" fillId="5" borderId="365" xfId="2" applyFont="1" applyFill="1" applyBorder="1" applyProtection="1">
      <protection hidden="1"/>
    </xf>
    <xf numFmtId="0" fontId="5" fillId="3" borderId="387" xfId="2" applyFont="1" applyFill="1" applyBorder="1" applyAlignment="1" applyProtection="1">
      <alignment horizontal="center"/>
      <protection hidden="1"/>
    </xf>
    <xf numFmtId="0" fontId="5" fillId="3" borderId="389" xfId="2" applyFont="1" applyFill="1" applyBorder="1" applyAlignment="1" applyProtection="1">
      <alignment horizontal="center"/>
      <protection hidden="1"/>
    </xf>
    <xf numFmtId="0" fontId="5" fillId="0" borderId="402" xfId="413" applyFont="1" applyBorder="1" applyAlignment="1" applyProtection="1">
      <alignment horizontal="center"/>
      <protection hidden="1"/>
    </xf>
    <xf numFmtId="1" fontId="5" fillId="0" borderId="402" xfId="1" quotePrefix="1" applyNumberFormat="1" applyFont="1" applyBorder="1" applyAlignment="1" applyProtection="1">
      <alignment horizontal="center"/>
      <protection hidden="1"/>
    </xf>
    <xf numFmtId="1" fontId="5" fillId="0" borderId="402" xfId="413" applyNumberFormat="1" applyFont="1" applyBorder="1" applyAlignment="1" applyProtection="1">
      <alignment horizontal="center"/>
      <protection hidden="1"/>
    </xf>
    <xf numFmtId="0" fontId="47" fillId="0" borderId="0" xfId="413" applyFont="1" applyProtection="1">
      <protection hidden="1"/>
    </xf>
    <xf numFmtId="0" fontId="1" fillId="4" borderId="0" xfId="413" applyFont="1" applyFill="1" applyBorder="1" applyProtection="1">
      <protection hidden="1"/>
    </xf>
    <xf numFmtId="0" fontId="5" fillId="5" borderId="365" xfId="2" applyFont="1" applyFill="1" applyBorder="1" applyAlignment="1" applyProtection="1">
      <alignment horizontal="center"/>
      <protection locked="0"/>
    </xf>
    <xf numFmtId="0" fontId="5" fillId="13" borderId="365" xfId="2" applyNumberFormat="1" applyFont="1" applyFill="1" applyBorder="1" applyAlignment="1" applyProtection="1">
      <alignment horizontal="center"/>
      <protection locked="0"/>
    </xf>
    <xf numFmtId="0" fontId="5" fillId="5" borderId="388" xfId="2" applyFont="1" applyFill="1" applyBorder="1" applyAlignment="1" applyProtection="1">
      <alignment horizontal="center"/>
      <protection locked="0"/>
    </xf>
    <xf numFmtId="0" fontId="5" fillId="13" borderId="388" xfId="413" applyFont="1" applyFill="1" applyBorder="1" applyAlignment="1" applyProtection="1">
      <alignment horizontal="center"/>
      <protection locked="0"/>
    </xf>
    <xf numFmtId="0" fontId="5" fillId="5" borderId="388" xfId="413" applyFont="1" applyFill="1" applyBorder="1" applyAlignment="1" applyProtection="1">
      <alignment horizontal="center"/>
      <protection locked="0"/>
    </xf>
    <xf numFmtId="0" fontId="5" fillId="5" borderId="386" xfId="2" applyFont="1" applyFill="1" applyBorder="1" applyAlignment="1" applyProtection="1">
      <alignment horizontal="center"/>
      <protection locked="0"/>
    </xf>
    <xf numFmtId="0" fontId="5" fillId="5" borderId="389" xfId="2" applyFont="1" applyFill="1" applyBorder="1" applyAlignment="1" applyProtection="1">
      <alignment horizontal="center"/>
      <protection locked="0"/>
    </xf>
    <xf numFmtId="0" fontId="5" fillId="5" borderId="394" xfId="413" applyFont="1" applyFill="1" applyBorder="1" applyAlignment="1" applyProtection="1">
      <alignment horizontal="center"/>
      <protection locked="0"/>
    </xf>
    <xf numFmtId="0" fontId="5" fillId="5" borderId="395" xfId="413" applyFont="1" applyFill="1" applyBorder="1" applyAlignment="1" applyProtection="1">
      <alignment horizontal="center"/>
      <protection locked="0"/>
    </xf>
    <xf numFmtId="0" fontId="5" fillId="5" borderId="396" xfId="413" applyFont="1" applyFill="1" applyBorder="1" applyAlignment="1" applyProtection="1">
      <alignment horizontal="center"/>
      <protection locked="0"/>
    </xf>
    <xf numFmtId="0" fontId="51" fillId="13" borderId="0" xfId="2" applyFont="1" applyFill="1" applyAlignment="1" applyProtection="1">
      <alignment horizontal="center" vertical="top" wrapText="1"/>
      <protection locked="0"/>
    </xf>
    <xf numFmtId="0" fontId="5" fillId="5" borderId="398" xfId="2" applyFont="1" applyFill="1" applyBorder="1" applyAlignment="1" applyProtection="1">
      <alignment horizontal="center"/>
      <protection locked="0"/>
    </xf>
    <xf numFmtId="0" fontId="5" fillId="5" borderId="404" xfId="2" applyFont="1" applyFill="1" applyBorder="1" applyAlignment="1" applyProtection="1">
      <alignment horizontal="center"/>
      <protection locked="0"/>
    </xf>
    <xf numFmtId="0" fontId="5" fillId="5" borderId="404" xfId="2" applyFill="1" applyBorder="1" applyAlignment="1" applyProtection="1">
      <alignment horizontal="center"/>
      <protection locked="0"/>
    </xf>
    <xf numFmtId="0" fontId="5" fillId="13" borderId="404" xfId="413" applyFont="1" applyFill="1" applyBorder="1" applyAlignment="1" applyProtection="1">
      <alignment horizontal="center"/>
      <protection locked="0"/>
    </xf>
    <xf numFmtId="0" fontId="5" fillId="13" borderId="302" xfId="413" applyFont="1" applyFill="1" applyBorder="1" applyAlignment="1" applyProtection="1">
      <alignment horizontal="center"/>
      <protection locked="0"/>
    </xf>
    <xf numFmtId="0" fontId="52" fillId="13" borderId="407" xfId="413" applyFont="1" applyFill="1" applyBorder="1" applyAlignment="1" applyProtection="1">
      <alignment horizontal="center"/>
      <protection locked="0"/>
    </xf>
    <xf numFmtId="0" fontId="44" fillId="16" borderId="302" xfId="422" applyFont="1" applyFill="1" applyBorder="1" applyAlignment="1" applyProtection="1">
      <alignment horizontal="center"/>
      <protection locked="0"/>
    </xf>
    <xf numFmtId="0" fontId="100" fillId="13" borderId="193" xfId="413" applyNumberFormat="1" applyFont="1" applyFill="1" applyBorder="1" applyAlignment="1" applyProtection="1">
      <alignment horizontal="center"/>
      <protection locked="0"/>
    </xf>
    <xf numFmtId="0" fontId="52" fillId="13" borderId="81" xfId="413" applyFont="1" applyFill="1" applyBorder="1" applyAlignment="1" applyProtection="1">
      <alignment horizontal="center"/>
      <protection locked="0"/>
    </xf>
    <xf numFmtId="0" fontId="5" fillId="5" borderId="407" xfId="424" applyFill="1" applyBorder="1" applyAlignment="1" applyProtection="1">
      <alignment horizontal="center"/>
      <protection locked="0"/>
    </xf>
    <xf numFmtId="0" fontId="5" fillId="5" borderId="81" xfId="424" applyFill="1" applyBorder="1" applyAlignment="1" applyProtection="1">
      <alignment horizontal="center"/>
      <protection locked="0"/>
    </xf>
    <xf numFmtId="0" fontId="44" fillId="13" borderId="301" xfId="413" applyFont="1" applyFill="1" applyBorder="1" applyAlignment="1" applyProtection="1">
      <alignment horizontal="center"/>
      <protection locked="0"/>
    </xf>
    <xf numFmtId="0" fontId="5" fillId="13" borderId="404" xfId="413" applyNumberFormat="1" applyFont="1" applyFill="1" applyBorder="1" applyAlignment="1" applyProtection="1">
      <alignment horizontal="center"/>
      <protection locked="0"/>
    </xf>
    <xf numFmtId="0" fontId="44" fillId="16" borderId="410" xfId="422" applyNumberFormat="1" applyFont="1" applyFill="1" applyBorder="1" applyAlignment="1" applyProtection="1">
      <alignment horizontal="center"/>
      <protection locked="0"/>
    </xf>
    <xf numFmtId="0" fontId="5" fillId="13" borderId="413" xfId="413" applyNumberFormat="1" applyFont="1" applyFill="1" applyBorder="1" applyAlignment="1" applyProtection="1">
      <alignment horizontal="center"/>
      <protection locked="0"/>
    </xf>
    <xf numFmtId="0" fontId="52" fillId="13" borderId="404" xfId="413" applyNumberFormat="1" applyFont="1" applyFill="1" applyBorder="1" applyAlignment="1" applyProtection="1">
      <alignment horizontal="center"/>
      <protection locked="0"/>
    </xf>
    <xf numFmtId="0" fontId="52" fillId="13" borderId="410" xfId="413" applyNumberFormat="1" applyFont="1" applyFill="1" applyBorder="1" applyAlignment="1" applyProtection="1">
      <alignment horizontal="center"/>
      <protection locked="0"/>
    </xf>
    <xf numFmtId="0" fontId="52" fillId="13" borderId="413" xfId="413" applyNumberFormat="1" applyFont="1" applyFill="1" applyBorder="1" applyAlignment="1" applyProtection="1">
      <alignment horizontal="center"/>
      <protection locked="0"/>
    </xf>
    <xf numFmtId="0" fontId="5" fillId="13" borderId="404" xfId="2" applyFill="1" applyBorder="1" applyAlignment="1" applyProtection="1">
      <alignment horizontal="center" wrapText="1"/>
      <protection locked="0"/>
    </xf>
    <xf numFmtId="0" fontId="5" fillId="5" borderId="404" xfId="413" applyNumberFormat="1" applyFont="1" applyFill="1" applyBorder="1" applyAlignment="1" applyProtection="1">
      <alignment horizontal="center"/>
      <protection locked="0"/>
    </xf>
    <xf numFmtId="0" fontId="5" fillId="5" borderId="81" xfId="413" applyNumberFormat="1" applyFont="1" applyFill="1" applyBorder="1" applyAlignment="1" applyProtection="1">
      <alignment horizontal="center"/>
      <protection locked="0"/>
    </xf>
    <xf numFmtId="0" fontId="5" fillId="16" borderId="407" xfId="413" applyFont="1" applyFill="1" applyBorder="1" applyAlignment="1" applyProtection="1">
      <alignment horizontal="center"/>
      <protection locked="0"/>
    </xf>
    <xf numFmtId="0" fontId="5" fillId="16" borderId="81" xfId="413" applyFont="1" applyFill="1" applyBorder="1" applyAlignment="1" applyProtection="1">
      <alignment horizontal="center"/>
      <protection locked="0"/>
    </xf>
    <xf numFmtId="0" fontId="5" fillId="5" borderId="405" xfId="2" applyFill="1" applyBorder="1" applyAlignment="1" applyProtection="1">
      <alignment horizontal="center"/>
      <protection locked="0"/>
    </xf>
    <xf numFmtId="0" fontId="5" fillId="13" borderId="340" xfId="413" applyFont="1" applyFill="1" applyBorder="1" applyAlignment="1" applyProtection="1">
      <alignment horizontal="center"/>
      <protection locked="0"/>
    </xf>
    <xf numFmtId="0" fontId="5" fillId="13" borderId="398" xfId="413" applyFont="1" applyFill="1" applyBorder="1" applyAlignment="1" applyProtection="1">
      <alignment horizontal="center"/>
      <protection locked="0"/>
    </xf>
    <xf numFmtId="0" fontId="261" fillId="6" borderId="398" xfId="2" applyFont="1" applyFill="1" applyBorder="1" applyAlignment="1" applyProtection="1">
      <alignment horizontal="center"/>
      <protection locked="0"/>
    </xf>
    <xf numFmtId="0" fontId="261" fillId="5" borderId="398" xfId="2" applyFont="1" applyFill="1" applyBorder="1" applyAlignment="1" applyProtection="1">
      <alignment horizontal="center"/>
      <protection locked="0"/>
    </xf>
    <xf numFmtId="0" fontId="51" fillId="5" borderId="398" xfId="2" applyFont="1" applyFill="1" applyBorder="1" applyAlignment="1" applyProtection="1">
      <alignment horizontal="center"/>
      <protection locked="0"/>
    </xf>
    <xf numFmtId="0" fontId="5" fillId="6" borderId="398" xfId="2" applyFont="1" applyFill="1" applyBorder="1" applyAlignment="1" applyProtection="1">
      <alignment horizontal="center"/>
      <protection locked="0"/>
    </xf>
    <xf numFmtId="0" fontId="5" fillId="5" borderId="405" xfId="419" applyFont="1" applyFill="1" applyBorder="1" applyAlignment="1" applyProtection="1">
      <alignment horizontal="center" vertical="top"/>
      <protection locked="0"/>
    </xf>
    <xf numFmtId="2" fontId="5" fillId="5" borderId="342" xfId="413" applyNumberFormat="1" applyFont="1" applyFill="1" applyBorder="1" applyAlignment="1" applyProtection="1">
      <alignment horizontal="center" vertical="top" wrapText="1"/>
      <protection locked="0"/>
    </xf>
    <xf numFmtId="2" fontId="5" fillId="5" borderId="407" xfId="413" applyNumberFormat="1" applyFont="1" applyFill="1" applyBorder="1" applyAlignment="1" applyProtection="1">
      <alignment horizontal="center" vertical="top" wrapText="1"/>
      <protection locked="0"/>
    </xf>
    <xf numFmtId="2" fontId="5" fillId="5" borderId="399" xfId="413" applyNumberFormat="1" applyFont="1" applyFill="1" applyBorder="1" applyAlignment="1" applyProtection="1">
      <alignment horizontal="center" vertical="top" wrapText="1"/>
      <protection locked="0"/>
    </xf>
    <xf numFmtId="2" fontId="5" fillId="5" borderId="292" xfId="413" applyNumberFormat="1" applyFont="1" applyFill="1" applyBorder="1" applyAlignment="1" applyProtection="1">
      <alignment horizontal="center" vertical="top" wrapText="1"/>
      <protection locked="0"/>
    </xf>
    <xf numFmtId="2" fontId="5" fillId="5" borderId="81" xfId="413" applyNumberFormat="1" applyFont="1" applyFill="1" applyBorder="1" applyAlignment="1" applyProtection="1">
      <alignment horizontal="center" vertical="top" wrapText="1"/>
      <protection locked="0"/>
    </xf>
    <xf numFmtId="2" fontId="5" fillId="5" borderId="381" xfId="413" applyNumberFormat="1" applyFont="1" applyFill="1" applyBorder="1" applyAlignment="1" applyProtection="1">
      <alignment horizontal="center" vertical="top" wrapText="1"/>
      <protection locked="0"/>
    </xf>
    <xf numFmtId="164" fontId="5" fillId="5" borderId="380" xfId="413" applyNumberFormat="1" applyFont="1" applyFill="1" applyBorder="1" applyAlignment="1" applyProtection="1">
      <alignment horizontal="center"/>
      <protection locked="0"/>
    </xf>
    <xf numFmtId="1" fontId="5" fillId="5" borderId="380" xfId="413" applyNumberFormat="1" applyFont="1" applyFill="1" applyBorder="1" applyAlignment="1" applyProtection="1">
      <alignment horizontal="center"/>
      <protection locked="0"/>
    </xf>
    <xf numFmtId="1" fontId="5" fillId="5" borderId="81" xfId="413" applyNumberFormat="1" applyFont="1" applyFill="1" applyBorder="1" applyAlignment="1" applyProtection="1">
      <alignment horizontal="center"/>
      <protection locked="0"/>
    </xf>
    <xf numFmtId="0" fontId="5" fillId="5" borderId="407" xfId="413" applyFont="1" applyFill="1" applyBorder="1" applyAlignment="1" applyProtection="1">
      <alignment horizontal="center"/>
      <protection locked="0"/>
    </xf>
    <xf numFmtId="0" fontId="5" fillId="5" borderId="193" xfId="413" applyFont="1" applyFill="1" applyBorder="1" applyAlignment="1" applyProtection="1">
      <alignment horizontal="center"/>
      <protection locked="0"/>
    </xf>
    <xf numFmtId="0" fontId="5" fillId="13" borderId="81" xfId="413" applyFont="1" applyFill="1" applyBorder="1" applyAlignment="1" applyProtection="1">
      <alignment horizontal="center"/>
      <protection locked="0"/>
    </xf>
    <xf numFmtId="0" fontId="5" fillId="13" borderId="0" xfId="413" applyFont="1" applyFill="1" applyAlignment="1" applyProtection="1">
      <alignment horizontal="center"/>
      <protection locked="0"/>
    </xf>
    <xf numFmtId="0" fontId="5" fillId="5" borderId="302" xfId="413" applyFont="1" applyFill="1" applyBorder="1" applyAlignment="1" applyProtection="1">
      <alignment horizontal="center"/>
      <protection locked="0"/>
    </xf>
    <xf numFmtId="0" fontId="5" fillId="5" borderId="193" xfId="426" applyFont="1" applyFill="1" applyBorder="1" applyAlignment="1" applyProtection="1">
      <alignment horizontal="center"/>
      <protection locked="0"/>
    </xf>
    <xf numFmtId="0" fontId="5" fillId="16" borderId="398" xfId="2" applyFont="1" applyFill="1" applyBorder="1" applyAlignment="1" applyProtection="1">
      <alignment horizontal="center"/>
      <protection locked="0"/>
    </xf>
    <xf numFmtId="2" fontId="5" fillId="16" borderId="398" xfId="2" applyNumberFormat="1" applyFont="1" applyFill="1" applyBorder="1" applyAlignment="1" applyProtection="1">
      <alignment horizontal="center"/>
      <protection locked="0"/>
    </xf>
    <xf numFmtId="0" fontId="5" fillId="5" borderId="380" xfId="2" applyFill="1" applyBorder="1" applyAlignment="1" applyProtection="1">
      <alignment horizontal="center" wrapText="1"/>
      <protection locked="0"/>
    </xf>
    <xf numFmtId="0" fontId="5" fillId="5" borderId="405" xfId="2" applyFill="1" applyBorder="1" applyAlignment="1" applyProtection="1">
      <alignment horizontal="center" wrapText="1"/>
      <protection locked="0"/>
    </xf>
    <xf numFmtId="0" fontId="5" fillId="5" borderId="398" xfId="2" applyFill="1" applyBorder="1" applyAlignment="1" applyProtection="1">
      <alignment horizontal="center" wrapText="1"/>
      <protection locked="0"/>
    </xf>
    <xf numFmtId="0" fontId="5" fillId="5" borderId="398" xfId="2" applyFill="1" applyBorder="1" applyAlignment="1" applyProtection="1">
      <alignment horizontal="center"/>
      <protection locked="0"/>
    </xf>
    <xf numFmtId="0" fontId="5" fillId="5" borderId="446" xfId="2" applyFill="1" applyBorder="1" applyAlignment="1" applyProtection="1">
      <alignment horizontal="center"/>
      <protection locked="0"/>
    </xf>
    <xf numFmtId="0" fontId="5" fillId="13" borderId="434" xfId="413" applyFont="1" applyFill="1" applyBorder="1" applyAlignment="1" applyProtection="1">
      <alignment horizontal="center"/>
      <protection locked="0"/>
    </xf>
    <xf numFmtId="0" fontId="5" fillId="13" borderId="439" xfId="2" applyFont="1" applyFill="1" applyBorder="1" applyAlignment="1" applyProtection="1">
      <alignment horizontal="center"/>
      <protection locked="0"/>
    </xf>
    <xf numFmtId="0" fontId="5" fillId="13" borderId="438" xfId="2" applyFont="1" applyFill="1" applyBorder="1" applyAlignment="1" applyProtection="1">
      <alignment horizontal="center"/>
      <protection locked="0"/>
    </xf>
    <xf numFmtId="0" fontId="5" fillId="13" borderId="430" xfId="2" applyFill="1" applyBorder="1" applyAlignment="1" applyProtection="1">
      <alignment horizontal="center"/>
      <protection locked="0"/>
    </xf>
    <xf numFmtId="0" fontId="5" fillId="13" borderId="431" xfId="2" applyFill="1" applyBorder="1" applyAlignment="1" applyProtection="1">
      <alignment horizontal="center"/>
      <protection locked="0"/>
    </xf>
    <xf numFmtId="0" fontId="5" fillId="5" borderId="447" xfId="2" applyFill="1" applyBorder="1" applyAlignment="1" applyProtection="1">
      <alignment horizontal="center"/>
      <protection locked="0"/>
    </xf>
    <xf numFmtId="0" fontId="44" fillId="67" borderId="426" xfId="2" applyNumberFormat="1" applyFont="1" applyFill="1" applyBorder="1" applyAlignment="1" applyProtection="1">
      <alignment horizontal="center"/>
      <protection locked="0"/>
    </xf>
    <xf numFmtId="0" fontId="5" fillId="13" borderId="440" xfId="2" applyFill="1" applyBorder="1" applyAlignment="1" applyProtection="1">
      <alignment horizontal="center"/>
      <protection locked="0"/>
    </xf>
    <xf numFmtId="0" fontId="1" fillId="0" borderId="0" xfId="429" applyFont="1" applyProtection="1">
      <protection hidden="1"/>
    </xf>
    <xf numFmtId="0" fontId="8" fillId="4" borderId="0" xfId="2" applyFont="1" applyFill="1" applyAlignment="1" applyProtection="1">
      <alignment vertical="center"/>
      <protection hidden="1"/>
    </xf>
    <xf numFmtId="0" fontId="51" fillId="4" borderId="0" xfId="2" applyFont="1" applyFill="1" applyProtection="1">
      <protection hidden="1"/>
    </xf>
    <xf numFmtId="0" fontId="0" fillId="4" borderId="0" xfId="0" applyFill="1" applyBorder="1" applyAlignment="1" applyProtection="1">
      <protection hidden="1"/>
    </xf>
    <xf numFmtId="0" fontId="5" fillId="4" borderId="0" xfId="2" applyFill="1" applyBorder="1" applyAlignment="1" applyProtection="1">
      <alignment vertical="top"/>
      <protection hidden="1"/>
    </xf>
    <xf numFmtId="0" fontId="5" fillId="0" borderId="5" xfId="2" applyBorder="1" applyProtection="1">
      <protection hidden="1"/>
    </xf>
    <xf numFmtId="0" fontId="5" fillId="0" borderId="0" xfId="2" applyFont="1" applyBorder="1" applyAlignment="1" applyProtection="1">
      <alignment horizontal="center" vertical="top" wrapText="1"/>
      <protection hidden="1"/>
    </xf>
    <xf numFmtId="0" fontId="5" fillId="0" borderId="21" xfId="2" applyFont="1" applyBorder="1" applyAlignment="1" applyProtection="1">
      <alignment horizontal="center" vertical="top" wrapText="1"/>
      <protection hidden="1"/>
    </xf>
    <xf numFmtId="0" fontId="5" fillId="0" borderId="24" xfId="1" applyFont="1" applyBorder="1" applyProtection="1">
      <protection hidden="1"/>
    </xf>
    <xf numFmtId="0" fontId="5" fillId="0" borderId="90" xfId="1" applyFont="1" applyBorder="1" applyAlignment="1" applyProtection="1">
      <alignment horizontal="center"/>
      <protection hidden="1"/>
    </xf>
    <xf numFmtId="0" fontId="5" fillId="0" borderId="25" xfId="2" applyFont="1" applyBorder="1" applyProtection="1">
      <protection hidden="1"/>
    </xf>
    <xf numFmtId="0" fontId="5" fillId="0" borderId="25" xfId="2" applyFont="1" applyBorder="1" applyAlignment="1" applyProtection="1">
      <alignment horizontal="center" vertical="top" wrapText="1"/>
      <protection hidden="1"/>
    </xf>
    <xf numFmtId="0" fontId="5" fillId="0" borderId="61" xfId="1" applyFont="1" applyBorder="1" applyProtection="1">
      <protection hidden="1"/>
    </xf>
    <xf numFmtId="0" fontId="5" fillId="0" borderId="89" xfId="1" applyFont="1" applyBorder="1" applyAlignment="1" applyProtection="1">
      <alignment horizontal="center"/>
      <protection hidden="1"/>
    </xf>
    <xf numFmtId="0" fontId="5" fillId="0" borderId="79" xfId="2" applyFont="1" applyBorder="1" applyProtection="1">
      <protection hidden="1"/>
    </xf>
    <xf numFmtId="0" fontId="5" fillId="0" borderId="79" xfId="2" applyFont="1" applyBorder="1" applyAlignment="1" applyProtection="1">
      <alignment horizontal="center" vertical="top" wrapText="1"/>
      <protection hidden="1"/>
    </xf>
    <xf numFmtId="0" fontId="1" fillId="0" borderId="89" xfId="2" applyFont="1" applyBorder="1" applyAlignment="1" applyProtection="1">
      <alignment horizontal="center"/>
      <protection hidden="1"/>
    </xf>
    <xf numFmtId="0" fontId="5" fillId="0" borderId="21" xfId="2" applyFont="1" applyBorder="1" applyProtection="1">
      <protection hidden="1"/>
    </xf>
    <xf numFmtId="0" fontId="5" fillId="0" borderId="89" xfId="1" applyFont="1" applyBorder="1" applyProtection="1">
      <protection hidden="1"/>
    </xf>
    <xf numFmtId="0" fontId="76" fillId="0" borderId="21" xfId="1" applyFont="1" applyBorder="1" applyAlignment="1" applyProtection="1">
      <alignment horizontal="center"/>
      <protection hidden="1"/>
    </xf>
    <xf numFmtId="0" fontId="1" fillId="0" borderId="79" xfId="1" applyBorder="1" applyProtection="1">
      <protection hidden="1"/>
    </xf>
    <xf numFmtId="0" fontId="47" fillId="0" borderId="79" xfId="2" applyFont="1" applyBorder="1" applyAlignment="1" applyProtection="1">
      <alignment horizontal="center"/>
      <protection hidden="1"/>
    </xf>
    <xf numFmtId="0" fontId="78" fillId="0" borderId="79" xfId="1" applyFont="1" applyBorder="1" applyAlignment="1" applyProtection="1">
      <alignment horizontal="center"/>
      <protection hidden="1"/>
    </xf>
    <xf numFmtId="0" fontId="78" fillId="0" borderId="21" xfId="1" applyFont="1" applyBorder="1" applyAlignment="1" applyProtection="1">
      <alignment horizontal="left"/>
      <protection hidden="1"/>
    </xf>
    <xf numFmtId="0" fontId="47" fillId="0" borderId="35" xfId="2" applyFont="1" applyBorder="1" applyAlignment="1" applyProtection="1">
      <alignment horizontal="center"/>
      <protection hidden="1"/>
    </xf>
    <xf numFmtId="0" fontId="78" fillId="0" borderId="35" xfId="1" applyFont="1" applyBorder="1" applyAlignment="1" applyProtection="1">
      <alignment horizontal="center"/>
      <protection hidden="1"/>
    </xf>
    <xf numFmtId="0" fontId="13" fillId="0" borderId="21" xfId="3" applyFont="1" applyBorder="1" applyAlignment="1" applyProtection="1">
      <alignment vertical="center"/>
      <protection hidden="1"/>
    </xf>
    <xf numFmtId="0" fontId="1" fillId="0" borderId="61" xfId="1" applyBorder="1" applyProtection="1">
      <protection hidden="1"/>
    </xf>
    <xf numFmtId="0" fontId="9" fillId="0" borderId="35" xfId="1" applyFont="1" applyBorder="1" applyAlignment="1" applyProtection="1">
      <alignment horizontal="center"/>
      <protection hidden="1"/>
    </xf>
    <xf numFmtId="0" fontId="1" fillId="0" borderId="34" xfId="1" applyBorder="1" applyProtection="1">
      <protection hidden="1"/>
    </xf>
    <xf numFmtId="0" fontId="44" fillId="0" borderId="21" xfId="0" applyFont="1" applyBorder="1" applyAlignment="1" applyProtection="1">
      <alignment horizontal="left"/>
      <protection hidden="1"/>
    </xf>
    <xf numFmtId="0" fontId="13" fillId="0" borderId="94" xfId="3" applyFont="1" applyBorder="1" applyAlignment="1" applyProtection="1">
      <alignment vertical="center"/>
      <protection hidden="1"/>
    </xf>
    <xf numFmtId="0" fontId="1" fillId="0" borderId="100" xfId="1" applyBorder="1" applyProtection="1">
      <protection hidden="1"/>
    </xf>
    <xf numFmtId="0" fontId="5" fillId="0" borderId="100" xfId="2" applyBorder="1" applyProtection="1">
      <protection hidden="1"/>
    </xf>
    <xf numFmtId="0" fontId="5" fillId="0" borderId="100" xfId="0" applyFont="1" applyBorder="1" applyProtection="1">
      <protection hidden="1"/>
    </xf>
    <xf numFmtId="0" fontId="5" fillId="0" borderId="79" xfId="0" applyFont="1" applyBorder="1" applyProtection="1">
      <protection hidden="1"/>
    </xf>
    <xf numFmtId="0" fontId="5" fillId="4" borderId="101" xfId="0" applyFont="1" applyFill="1" applyBorder="1" applyProtection="1">
      <protection hidden="1"/>
    </xf>
    <xf numFmtId="0" fontId="5" fillId="0" borderId="89" xfId="2" applyFont="1" applyBorder="1" applyProtection="1">
      <protection hidden="1"/>
    </xf>
    <xf numFmtId="0" fontId="5" fillId="0" borderId="92" xfId="2" applyFont="1" applyBorder="1" applyProtection="1">
      <protection hidden="1"/>
    </xf>
    <xf numFmtId="0" fontId="5" fillId="4" borderId="92" xfId="2" applyFont="1" applyFill="1" applyBorder="1" applyProtection="1">
      <protection hidden="1"/>
    </xf>
    <xf numFmtId="0" fontId="5" fillId="0" borderId="102" xfId="0" applyFont="1" applyBorder="1" applyProtection="1">
      <protection hidden="1"/>
    </xf>
    <xf numFmtId="0" fontId="5" fillId="4" borderId="105" xfId="0" applyFont="1" applyFill="1" applyBorder="1" applyProtection="1">
      <protection hidden="1"/>
    </xf>
    <xf numFmtId="0" fontId="5" fillId="0" borderId="38" xfId="0" applyFont="1" applyBorder="1" applyProtection="1">
      <protection hidden="1"/>
    </xf>
    <xf numFmtId="0" fontId="5" fillId="0" borderId="16" xfId="0" applyFont="1" applyBorder="1" applyProtection="1">
      <protection hidden="1"/>
    </xf>
    <xf numFmtId="0" fontId="5" fillId="0" borderId="17" xfId="0" applyFont="1" applyBorder="1" applyProtection="1">
      <protection hidden="1"/>
    </xf>
    <xf numFmtId="0" fontId="5" fillId="0" borderId="20" xfId="0" applyFont="1" applyBorder="1" applyProtection="1">
      <protection hidden="1"/>
    </xf>
    <xf numFmtId="0" fontId="5" fillId="4" borderId="16" xfId="2" applyFill="1" applyBorder="1" applyProtection="1">
      <protection hidden="1"/>
    </xf>
    <xf numFmtId="0" fontId="47" fillId="3" borderId="0" xfId="2" applyFont="1" applyFill="1" applyAlignment="1" applyProtection="1">
      <alignment horizontal="center" vertical="center" textRotation="90"/>
      <protection hidden="1"/>
    </xf>
    <xf numFmtId="0" fontId="0" fillId="4" borderId="310" xfId="0" applyFill="1" applyBorder="1" applyAlignment="1" applyProtection="1">
      <protection hidden="1"/>
    </xf>
    <xf numFmtId="0" fontId="5" fillId="0" borderId="203" xfId="6" applyFont="1" applyBorder="1" applyProtection="1">
      <protection hidden="1"/>
    </xf>
    <xf numFmtId="0" fontId="1" fillId="4" borderId="0" xfId="6" applyFont="1" applyFill="1" applyAlignment="1" applyProtection="1">
      <alignment vertical="center"/>
      <protection hidden="1"/>
    </xf>
    <xf numFmtId="0" fontId="52" fillId="0" borderId="214" xfId="2" applyFont="1" applyBorder="1" applyProtection="1">
      <protection hidden="1"/>
    </xf>
    <xf numFmtId="0" fontId="47" fillId="3" borderId="0" xfId="6" applyFont="1" applyFill="1" applyAlignment="1" applyProtection="1">
      <alignment wrapText="1"/>
      <protection hidden="1"/>
    </xf>
    <xf numFmtId="0" fontId="5" fillId="0" borderId="124" xfId="6" applyFont="1" applyBorder="1" applyProtection="1">
      <protection hidden="1"/>
    </xf>
    <xf numFmtId="49" fontId="5" fillId="13" borderId="286" xfId="6" applyNumberFormat="1" applyFont="1" applyFill="1" applyBorder="1" applyProtection="1">
      <protection locked="0"/>
    </xf>
    <xf numFmtId="0" fontId="23" fillId="4" borderId="0" xfId="410" applyFont="1" applyFill="1" applyBorder="1" applyAlignment="1" applyProtection="1">
      <alignment horizontal="center"/>
      <protection hidden="1"/>
    </xf>
    <xf numFmtId="0" fontId="1" fillId="4" borderId="0" xfId="410" applyFont="1" applyFill="1" applyBorder="1" applyProtection="1">
      <protection hidden="1"/>
    </xf>
    <xf numFmtId="0" fontId="5" fillId="0" borderId="21" xfId="2" applyBorder="1" applyAlignment="1" applyProtection="1">
      <alignment vertical="top" wrapText="1"/>
      <protection hidden="1"/>
    </xf>
    <xf numFmtId="0" fontId="5" fillId="0" borderId="21" xfId="1" applyFont="1" applyBorder="1" applyProtection="1">
      <protection hidden="1"/>
    </xf>
    <xf numFmtId="0" fontId="5" fillId="0" borderId="302" xfId="2" applyBorder="1" applyProtection="1">
      <protection hidden="1"/>
    </xf>
    <xf numFmtId="0" fontId="9" fillId="0" borderId="0" xfId="1" applyFont="1" applyAlignment="1" applyProtection="1">
      <alignment horizontal="center"/>
      <protection hidden="1"/>
    </xf>
    <xf numFmtId="0" fontId="9" fillId="0" borderId="21" xfId="1" applyFont="1" applyBorder="1" applyAlignment="1" applyProtection="1">
      <alignment horizontal="left"/>
      <protection hidden="1"/>
    </xf>
    <xf numFmtId="0" fontId="9" fillId="0" borderId="21" xfId="410" applyFont="1" applyBorder="1" applyAlignment="1" applyProtection="1">
      <alignment horizontal="left"/>
      <protection hidden="1"/>
    </xf>
    <xf numFmtId="0" fontId="1" fillId="0" borderId="302" xfId="1" applyFont="1" applyBorder="1" applyProtection="1">
      <protection hidden="1"/>
    </xf>
    <xf numFmtId="0" fontId="9" fillId="0" borderId="0" xfId="2" applyFont="1" applyAlignment="1" applyProtection="1">
      <alignment horizontal="center"/>
      <protection hidden="1"/>
    </xf>
    <xf numFmtId="0" fontId="1" fillId="0" borderId="0" xfId="410" applyFont="1" applyAlignment="1" applyProtection="1">
      <alignment horizontal="center"/>
      <protection hidden="1"/>
    </xf>
    <xf numFmtId="0" fontId="1" fillId="0" borderId="21" xfId="410" applyFont="1" applyBorder="1" applyProtection="1">
      <protection hidden="1"/>
    </xf>
    <xf numFmtId="0" fontId="5" fillId="0" borderId="291" xfId="7" applyBorder="1" applyProtection="1">
      <protection hidden="1"/>
    </xf>
    <xf numFmtId="1" fontId="5" fillId="0" borderId="292" xfId="1" applyNumberFormat="1" applyFont="1" applyBorder="1" applyProtection="1">
      <protection hidden="1"/>
    </xf>
    <xf numFmtId="0" fontId="5" fillId="0" borderId="292" xfId="1" applyFont="1" applyBorder="1" applyProtection="1">
      <protection hidden="1"/>
    </xf>
    <xf numFmtId="0" fontId="1" fillId="0" borderId="292" xfId="410" applyFont="1" applyBorder="1" applyProtection="1">
      <protection hidden="1"/>
    </xf>
    <xf numFmtId="0" fontId="1" fillId="0" borderId="293" xfId="410" applyFont="1" applyBorder="1" applyProtection="1">
      <protection hidden="1"/>
    </xf>
    <xf numFmtId="0" fontId="5" fillId="0" borderId="341" xfId="1" applyFont="1" applyBorder="1" applyProtection="1">
      <protection hidden="1"/>
    </xf>
    <xf numFmtId="0" fontId="9" fillId="0" borderId="178" xfId="1" applyFont="1" applyBorder="1" applyProtection="1">
      <protection hidden="1"/>
    </xf>
    <xf numFmtId="0" fontId="5" fillId="0" borderId="178" xfId="1" applyFont="1" applyBorder="1" applyProtection="1">
      <protection hidden="1"/>
    </xf>
    <xf numFmtId="0" fontId="5" fillId="0" borderId="343" xfId="1" applyFont="1" applyBorder="1" applyProtection="1">
      <protection hidden="1"/>
    </xf>
    <xf numFmtId="0" fontId="5" fillId="0" borderId="21" xfId="410" applyFont="1" applyBorder="1" applyProtection="1">
      <protection hidden="1"/>
    </xf>
    <xf numFmtId="0" fontId="1" fillId="0" borderId="302" xfId="410" applyFont="1" applyBorder="1" applyProtection="1">
      <protection hidden="1"/>
    </xf>
    <xf numFmtId="0" fontId="1" fillId="0" borderId="230" xfId="410" applyFont="1" applyBorder="1" applyProtection="1">
      <protection hidden="1"/>
    </xf>
    <xf numFmtId="0" fontId="5" fillId="0" borderId="230" xfId="2" applyBorder="1" applyProtection="1">
      <protection hidden="1"/>
    </xf>
    <xf numFmtId="0" fontId="1" fillId="0" borderId="291" xfId="410" applyFont="1" applyBorder="1" applyProtection="1">
      <protection hidden="1"/>
    </xf>
    <xf numFmtId="0" fontId="5" fillId="14" borderId="53" xfId="0" applyFont="1" applyFill="1" applyBorder="1" applyAlignment="1" applyProtection="1">
      <alignment horizontal="right"/>
      <protection hidden="1"/>
    </xf>
    <xf numFmtId="0" fontId="39" fillId="2" borderId="0" xfId="2" applyFont="1" applyFill="1" applyProtection="1">
      <protection hidden="1"/>
    </xf>
    <xf numFmtId="2" fontId="10" fillId="2" borderId="0" xfId="1" applyNumberFormat="1" applyFont="1" applyFill="1" applyAlignment="1" applyProtection="1">
      <protection hidden="1"/>
    </xf>
    <xf numFmtId="0" fontId="15" fillId="4" borderId="0" xfId="3" applyFont="1" applyFill="1" applyBorder="1" applyAlignment="1" applyProtection="1">
      <alignment vertical="center" wrapText="1"/>
      <protection hidden="1"/>
    </xf>
    <xf numFmtId="0" fontId="5" fillId="2" borderId="0" xfId="2" applyFill="1" applyBorder="1" applyAlignment="1" applyProtection="1">
      <alignment wrapText="1"/>
      <protection hidden="1"/>
    </xf>
    <xf numFmtId="0" fontId="5" fillId="2" borderId="540" xfId="2" applyFill="1" applyBorder="1" applyAlignment="1" applyProtection="1">
      <alignment horizontal="center"/>
      <protection hidden="1"/>
    </xf>
    <xf numFmtId="0" fontId="282" fillId="3" borderId="0" xfId="1" applyFont="1" applyFill="1" applyAlignment="1" applyProtection="1">
      <alignment horizontal="center"/>
      <protection hidden="1"/>
    </xf>
    <xf numFmtId="0" fontId="44" fillId="3" borderId="0" xfId="1" applyFont="1" applyFill="1" applyAlignment="1" applyProtection="1">
      <alignment vertical="top"/>
      <protection hidden="1"/>
    </xf>
    <xf numFmtId="2" fontId="3" fillId="3" borderId="0" xfId="1" applyNumberFormat="1" applyFont="1" applyFill="1" applyAlignment="1" applyProtection="1">
      <alignment horizontal="left"/>
      <protection hidden="1"/>
    </xf>
    <xf numFmtId="0" fontId="282" fillId="2" borderId="0" xfId="1" applyFont="1" applyFill="1" applyAlignment="1" applyProtection="1">
      <alignment horizontal="center"/>
      <protection hidden="1"/>
    </xf>
    <xf numFmtId="0" fontId="282" fillId="2" borderId="0" xfId="1" applyFont="1" applyFill="1" applyAlignment="1" applyProtection="1">
      <protection hidden="1"/>
    </xf>
    <xf numFmtId="2" fontId="3" fillId="2" borderId="0" xfId="1" applyNumberFormat="1" applyFont="1" applyFill="1" applyAlignment="1" applyProtection="1">
      <alignment horizontal="left"/>
      <protection hidden="1"/>
    </xf>
    <xf numFmtId="2" fontId="3" fillId="2" borderId="0" xfId="1" applyNumberFormat="1" applyFont="1" applyFill="1" applyAlignment="1" applyProtection="1">
      <protection hidden="1"/>
    </xf>
    <xf numFmtId="2" fontId="44" fillId="4" borderId="0" xfId="1" applyNumberFormat="1" applyFont="1" applyFill="1" applyAlignment="1" applyProtection="1">
      <alignment vertical="center"/>
      <protection hidden="1"/>
    </xf>
    <xf numFmtId="2" fontId="143" fillId="2" borderId="0" xfId="1" applyNumberFormat="1" applyFont="1" applyFill="1" applyProtection="1">
      <protection hidden="1"/>
    </xf>
    <xf numFmtId="0" fontId="44" fillId="4" borderId="0" xfId="0" applyFont="1" applyFill="1" applyAlignment="1" applyProtection="1">
      <alignment horizontal="right"/>
      <protection hidden="1"/>
    </xf>
    <xf numFmtId="0" fontId="44" fillId="4" borderId="0" xfId="0" applyFont="1" applyFill="1" applyProtection="1">
      <protection hidden="1"/>
    </xf>
    <xf numFmtId="2" fontId="44" fillId="4" borderId="0" xfId="1" applyNumberFormat="1" applyFont="1" applyFill="1" applyProtection="1">
      <protection hidden="1"/>
    </xf>
    <xf numFmtId="165" fontId="44" fillId="4" borderId="0" xfId="0" applyNumberFormat="1" applyFont="1" applyFill="1" applyProtection="1">
      <protection hidden="1"/>
    </xf>
    <xf numFmtId="49" fontId="44" fillId="4" borderId="0" xfId="1" applyNumberFormat="1" applyFont="1" applyFill="1" applyProtection="1">
      <protection hidden="1"/>
    </xf>
    <xf numFmtId="0" fontId="44" fillId="4" borderId="0" xfId="1" applyFont="1" applyFill="1" applyProtection="1">
      <protection hidden="1"/>
    </xf>
    <xf numFmtId="0" fontId="44" fillId="2" borderId="0" xfId="1" applyFont="1" applyFill="1" applyBorder="1" applyAlignment="1" applyProtection="1">
      <alignment vertical="top" wrapText="1"/>
      <protection hidden="1"/>
    </xf>
    <xf numFmtId="165" fontId="39" fillId="4" borderId="0" xfId="0" applyNumberFormat="1" applyFont="1" applyFill="1" applyProtection="1">
      <protection hidden="1"/>
    </xf>
    <xf numFmtId="49" fontId="39" fillId="4" borderId="0" xfId="1" applyNumberFormat="1" applyFont="1" applyFill="1" applyProtection="1">
      <protection hidden="1"/>
    </xf>
    <xf numFmtId="0" fontId="39" fillId="4" borderId="0" xfId="1" applyFont="1" applyFill="1" applyProtection="1">
      <protection hidden="1"/>
    </xf>
    <xf numFmtId="2" fontId="142" fillId="2" borderId="0" xfId="1" applyNumberFormat="1" applyFont="1" applyFill="1" applyProtection="1">
      <protection hidden="1"/>
    </xf>
    <xf numFmtId="0" fontId="5" fillId="3" borderId="540" xfId="2" applyFill="1" applyBorder="1" applyAlignment="1" applyProtection="1">
      <alignment horizontal="center"/>
      <protection hidden="1"/>
    </xf>
    <xf numFmtId="0" fontId="280" fillId="3" borderId="0" xfId="198" applyFont="1" applyFill="1" applyProtection="1">
      <protection hidden="1"/>
    </xf>
    <xf numFmtId="0" fontId="51" fillId="3" borderId="0" xfId="2" applyFont="1" applyFill="1" applyAlignment="1" applyProtection="1">
      <alignment horizontal="right"/>
      <protection hidden="1"/>
    </xf>
    <xf numFmtId="0" fontId="280" fillId="3" borderId="0" xfId="198" applyFont="1" applyFill="1" applyAlignment="1" applyProtection="1">
      <alignment horizontal="left" vertical="top" wrapText="1"/>
      <protection hidden="1"/>
    </xf>
    <xf numFmtId="0" fontId="64" fillId="18" borderId="469" xfId="429" applyFont="1" applyFill="1" applyBorder="1" applyAlignment="1" applyProtection="1">
      <alignment horizontal="center"/>
      <protection locked="0"/>
    </xf>
    <xf numFmtId="0" fontId="64" fillId="16" borderId="469" xfId="429" applyFont="1" applyFill="1" applyBorder="1" applyAlignment="1" applyProtection="1">
      <alignment horizontal="center"/>
      <protection locked="0"/>
    </xf>
    <xf numFmtId="0" fontId="177" fillId="6" borderId="306" xfId="1" applyNumberFormat="1" applyFont="1" applyFill="1" applyBorder="1" applyProtection="1">
      <protection locked="0"/>
    </xf>
    <xf numFmtId="0" fontId="20" fillId="2" borderId="0" xfId="2" applyFont="1" applyFill="1" applyAlignment="1" applyProtection="1">
      <alignment horizontal="center"/>
      <protection hidden="1"/>
    </xf>
    <xf numFmtId="0" fontId="21" fillId="2" borderId="0" xfId="2" applyFont="1" applyFill="1" applyAlignment="1" applyProtection="1">
      <alignment vertical="center"/>
      <protection hidden="1"/>
    </xf>
    <xf numFmtId="0" fontId="45" fillId="2" borderId="0" xfId="3" applyFont="1" applyFill="1" applyAlignment="1" applyProtection="1">
      <alignment horizontal="right"/>
      <protection hidden="1"/>
    </xf>
    <xf numFmtId="0" fontId="5" fillId="2" borderId="0" xfId="199" applyNumberFormat="1" applyFont="1" applyFill="1" applyAlignment="1" applyProtection="1">
      <alignment vertical="center"/>
      <protection hidden="1"/>
    </xf>
    <xf numFmtId="0" fontId="281" fillId="4" borderId="0" xfId="0" applyFont="1" applyFill="1" applyAlignment="1" applyProtection="1">
      <alignment vertical="center" readingOrder="1"/>
      <protection hidden="1"/>
    </xf>
    <xf numFmtId="0" fontId="47" fillId="3" borderId="0" xfId="2" applyFont="1" applyFill="1" applyAlignment="1" applyProtection="1">
      <alignment horizontal="right" vertical="center"/>
      <protection hidden="1"/>
    </xf>
    <xf numFmtId="0" fontId="179" fillId="2" borderId="0" xfId="2" applyFont="1" applyFill="1" applyAlignment="1" applyProtection="1">
      <alignment vertical="center"/>
      <protection hidden="1"/>
    </xf>
    <xf numFmtId="0" fontId="45" fillId="3" borderId="0" xfId="3" applyFont="1" applyFill="1" applyAlignment="1" applyProtection="1">
      <alignment vertical="center"/>
      <protection hidden="1"/>
    </xf>
    <xf numFmtId="0" fontId="10" fillId="5" borderId="0" xfId="413" applyFont="1" applyFill="1" applyAlignment="1" applyProtection="1">
      <alignment horizontal="center"/>
      <protection locked="0"/>
    </xf>
    <xf numFmtId="0" fontId="10" fillId="4" borderId="0" xfId="2" applyFont="1" applyFill="1" applyProtection="1">
      <protection hidden="1"/>
    </xf>
    <xf numFmtId="0" fontId="178" fillId="2" borderId="0" xfId="413" applyFont="1" applyFill="1" applyAlignment="1" applyProtection="1">
      <alignment vertical="center"/>
      <protection hidden="1"/>
    </xf>
    <xf numFmtId="0" fontId="178" fillId="2" borderId="0" xfId="413" applyFont="1" applyFill="1" applyAlignment="1" applyProtection="1">
      <alignment horizontal="center" vertical="center"/>
      <protection hidden="1"/>
    </xf>
    <xf numFmtId="0" fontId="5" fillId="3" borderId="0" xfId="2" applyFill="1" applyAlignment="1" applyProtection="1">
      <alignment horizontal="center" wrapText="1"/>
      <protection hidden="1"/>
    </xf>
    <xf numFmtId="0" fontId="5" fillId="3" borderId="0" xfId="413" applyFont="1" applyFill="1" applyAlignment="1" applyProtection="1">
      <alignment horizontal="left"/>
      <protection hidden="1"/>
    </xf>
    <xf numFmtId="0" fontId="2" fillId="3" borderId="0" xfId="198" applyFont="1" applyFill="1" applyAlignment="1" applyProtection="1">
      <alignment horizontal="right" vertical="center"/>
      <protection hidden="1"/>
    </xf>
    <xf numFmtId="0" fontId="5" fillId="4" borderId="0" xfId="6" applyFont="1" applyFill="1" applyAlignment="1" applyProtection="1">
      <alignment horizontal="left"/>
      <protection hidden="1"/>
    </xf>
    <xf numFmtId="0" fontId="5" fillId="3" borderId="0" xfId="2" applyFill="1" applyAlignment="1" applyProtection="1">
      <alignment horizontal="left" vertical="top" wrapText="1"/>
      <protection hidden="1"/>
    </xf>
    <xf numFmtId="0" fontId="5" fillId="5" borderId="540" xfId="2" applyFill="1" applyBorder="1" applyAlignment="1" applyProtection="1">
      <alignment horizontal="center"/>
      <protection locked="0"/>
    </xf>
    <xf numFmtId="1" fontId="100" fillId="16" borderId="0" xfId="118" applyNumberFormat="1" applyFont="1" applyFill="1" applyProtection="1">
      <protection locked="0"/>
    </xf>
    <xf numFmtId="0" fontId="5" fillId="13" borderId="115" xfId="2" applyNumberFormat="1" applyFill="1" applyBorder="1" applyAlignment="1" applyProtection="1">
      <alignment horizontal="center"/>
      <protection locked="0"/>
    </xf>
    <xf numFmtId="0" fontId="5" fillId="18" borderId="119" xfId="2" applyFill="1" applyBorder="1" applyProtection="1">
      <protection locked="0"/>
    </xf>
    <xf numFmtId="0" fontId="32" fillId="3" borderId="0" xfId="2" applyFont="1" applyFill="1" applyBorder="1" applyAlignment="1" applyProtection="1">
      <protection hidden="1"/>
    </xf>
    <xf numFmtId="0" fontId="5" fillId="13" borderId="302" xfId="429" applyFont="1" applyFill="1" applyBorder="1" applyAlignment="1" applyProtection="1">
      <alignment horizontal="left"/>
      <protection locked="0"/>
    </xf>
    <xf numFmtId="164" fontId="5" fillId="2" borderId="329" xfId="2" applyNumberFormat="1" applyFont="1" applyFill="1" applyBorder="1" applyAlignment="1" applyProtection="1">
      <alignment horizontal="center"/>
      <protection hidden="1"/>
    </xf>
    <xf numFmtId="166" fontId="6" fillId="4" borderId="0" xfId="411" applyNumberFormat="1" applyFont="1" applyFill="1" applyAlignment="1" applyProtection="1">
      <protection hidden="1"/>
    </xf>
    <xf numFmtId="164" fontId="5" fillId="4" borderId="263" xfId="2" applyNumberFormat="1" applyFill="1" applyBorder="1" applyAlignment="1" applyProtection="1">
      <alignment horizontal="center"/>
      <protection hidden="1"/>
    </xf>
    <xf numFmtId="0" fontId="5" fillId="4" borderId="0" xfId="429" applyFont="1" applyFill="1" applyProtection="1">
      <protection hidden="1"/>
    </xf>
    <xf numFmtId="0" fontId="286" fillId="4" borderId="0" xfId="2" applyFont="1" applyFill="1" applyBorder="1" applyAlignment="1" applyProtection="1">
      <alignment vertical="top" wrapText="1"/>
      <protection hidden="1"/>
    </xf>
    <xf numFmtId="0" fontId="136" fillId="4" borderId="0" xfId="429" applyFont="1" applyFill="1" applyProtection="1">
      <protection hidden="1"/>
    </xf>
    <xf numFmtId="0" fontId="92" fillId="4" borderId="0" xfId="429" applyFont="1" applyFill="1" applyBorder="1" applyAlignment="1" applyProtection="1">
      <protection hidden="1"/>
    </xf>
    <xf numFmtId="0" fontId="13" fillId="4" borderId="0" xfId="3" applyFont="1" applyFill="1" applyAlignment="1" applyProtection="1">
      <alignment horizontal="right"/>
      <protection hidden="1"/>
    </xf>
    <xf numFmtId="0" fontId="5" fillId="5" borderId="90" xfId="1" applyFont="1" applyFill="1" applyBorder="1" applyProtection="1">
      <protection locked="0"/>
    </xf>
    <xf numFmtId="1" fontId="5" fillId="5" borderId="90" xfId="1" applyNumberFormat="1" applyFont="1" applyFill="1" applyBorder="1" applyAlignment="1" applyProtection="1">
      <alignment horizontal="center"/>
      <protection locked="0"/>
    </xf>
    <xf numFmtId="0" fontId="5" fillId="5" borderId="90" xfId="1" applyFont="1" applyFill="1" applyBorder="1" applyAlignment="1" applyProtection="1">
      <alignment horizontal="center"/>
      <protection locked="0"/>
    </xf>
    <xf numFmtId="0" fontId="5" fillId="5" borderId="89" xfId="1" applyFont="1" applyFill="1" applyBorder="1" applyProtection="1">
      <protection locked="0"/>
    </xf>
    <xf numFmtId="1" fontId="5" fillId="5" borderId="89" xfId="1" applyNumberFormat="1" applyFont="1" applyFill="1" applyBorder="1" applyAlignment="1" applyProtection="1">
      <alignment horizontal="center"/>
      <protection locked="0"/>
    </xf>
    <xf numFmtId="0" fontId="5" fillId="5" borderId="89" xfId="1" applyFont="1" applyFill="1" applyBorder="1" applyAlignment="1" applyProtection="1">
      <alignment horizontal="center"/>
      <protection locked="0"/>
    </xf>
    <xf numFmtId="0" fontId="5" fillId="5" borderId="89" xfId="7" applyFill="1" applyBorder="1" applyAlignment="1" applyProtection="1">
      <alignment horizontal="center"/>
      <protection locked="0"/>
    </xf>
    <xf numFmtId="0" fontId="5" fillId="5" borderId="89" xfId="7" applyFill="1" applyBorder="1" applyProtection="1">
      <protection locked="0"/>
    </xf>
    <xf numFmtId="0" fontId="75" fillId="5" borderId="89" xfId="1" applyFont="1" applyFill="1" applyBorder="1" applyProtection="1">
      <protection locked="0"/>
    </xf>
    <xf numFmtId="0" fontId="75" fillId="5" borderId="89" xfId="7" applyFont="1" applyFill="1" applyBorder="1" applyProtection="1">
      <protection locked="0"/>
    </xf>
    <xf numFmtId="0" fontId="5" fillId="5" borderId="42" xfId="2" applyFont="1" applyFill="1" applyBorder="1" applyAlignment="1" applyProtection="1">
      <alignment horizontal="center"/>
      <protection locked="0"/>
    </xf>
    <xf numFmtId="0" fontId="51" fillId="5" borderId="89" xfId="1" applyFont="1" applyFill="1" applyBorder="1" applyProtection="1">
      <protection locked="0"/>
    </xf>
    <xf numFmtId="0" fontId="51" fillId="5" borderId="89" xfId="7" applyFont="1" applyFill="1" applyBorder="1" applyProtection="1">
      <protection locked="0"/>
    </xf>
    <xf numFmtId="0" fontId="36" fillId="5" borderId="91" xfId="1" applyFont="1" applyFill="1" applyBorder="1" applyProtection="1">
      <protection locked="0"/>
    </xf>
    <xf numFmtId="0" fontId="77" fillId="16" borderId="30" xfId="1" applyFont="1" applyFill="1" applyBorder="1" applyAlignment="1" applyProtection="1">
      <alignment horizontal="center"/>
      <protection locked="0"/>
    </xf>
    <xf numFmtId="0" fontId="36" fillId="5" borderId="92" xfId="1" applyFont="1" applyFill="1" applyBorder="1" applyProtection="1">
      <protection locked="0"/>
    </xf>
    <xf numFmtId="0" fontId="77" fillId="16" borderId="58" xfId="1" applyFont="1" applyFill="1" applyBorder="1" applyAlignment="1" applyProtection="1">
      <alignment horizontal="center"/>
      <protection locked="0"/>
    </xf>
    <xf numFmtId="0" fontId="36" fillId="5" borderId="92" xfId="0" applyFont="1" applyFill="1" applyBorder="1" applyProtection="1">
      <protection locked="0"/>
    </xf>
    <xf numFmtId="49" fontId="5" fillId="16" borderId="58" xfId="1" applyNumberFormat="1" applyFont="1" applyFill="1" applyBorder="1" applyAlignment="1" applyProtection="1">
      <alignment horizontal="center"/>
      <protection locked="0"/>
    </xf>
    <xf numFmtId="0" fontId="36" fillId="5" borderId="92" xfId="7" applyFont="1" applyFill="1" applyBorder="1" applyProtection="1">
      <protection locked="0"/>
    </xf>
    <xf numFmtId="0" fontId="5" fillId="16" borderId="58" xfId="2" applyFill="1" applyBorder="1" applyProtection="1">
      <protection locked="0"/>
    </xf>
    <xf numFmtId="0" fontId="61" fillId="5" borderId="89" xfId="1" applyFont="1" applyFill="1" applyBorder="1" applyProtection="1">
      <protection locked="0"/>
    </xf>
    <xf numFmtId="0" fontId="5" fillId="5" borderId="92" xfId="1" applyFont="1" applyFill="1" applyBorder="1" applyAlignment="1" applyProtection="1">
      <alignment horizontal="center"/>
      <protection locked="0"/>
    </xf>
    <xf numFmtId="0" fontId="5" fillId="16" borderId="93" xfId="2" applyFont="1" applyFill="1" applyBorder="1" applyAlignment="1" applyProtection="1">
      <alignment horizontal="center"/>
      <protection locked="0"/>
    </xf>
    <xf numFmtId="0" fontId="5" fillId="16" borderId="93" xfId="0" applyFont="1" applyFill="1" applyBorder="1" applyAlignment="1" applyProtection="1">
      <alignment horizontal="center"/>
      <protection locked="0"/>
    </xf>
    <xf numFmtId="0" fontId="61" fillId="5" borderId="89" xfId="2" applyFont="1" applyFill="1" applyBorder="1" applyProtection="1">
      <protection locked="0"/>
    </xf>
    <xf numFmtId="1" fontId="5" fillId="5" borderId="89" xfId="2" applyNumberFormat="1" applyFill="1" applyBorder="1" applyAlignment="1" applyProtection="1">
      <alignment horizontal="center"/>
      <protection locked="0"/>
    </xf>
    <xf numFmtId="0" fontId="5" fillId="5" borderId="89" xfId="2" applyFill="1" applyBorder="1" applyAlignment="1" applyProtection="1">
      <alignment horizontal="center"/>
      <protection locked="0"/>
    </xf>
    <xf numFmtId="1" fontId="5" fillId="5" borderId="92" xfId="2" applyNumberFormat="1" applyFill="1" applyBorder="1" applyAlignment="1" applyProtection="1">
      <alignment horizontal="center"/>
      <protection locked="0"/>
    </xf>
    <xf numFmtId="0" fontId="61" fillId="5" borderId="92" xfId="2" applyFont="1" applyFill="1" applyBorder="1" applyProtection="1">
      <protection locked="0"/>
    </xf>
    <xf numFmtId="0" fontId="5" fillId="16" borderId="93" xfId="0" applyFont="1" applyFill="1" applyBorder="1" applyAlignment="1" applyProtection="1">
      <alignment horizontal="left"/>
      <protection locked="0"/>
    </xf>
    <xf numFmtId="0" fontId="61" fillId="5" borderId="92" xfId="1" applyFont="1" applyFill="1" applyBorder="1" applyProtection="1">
      <protection locked="0"/>
    </xf>
    <xf numFmtId="0" fontId="61" fillId="5" borderId="92" xfId="7" applyFont="1" applyFill="1" applyBorder="1" applyProtection="1">
      <protection locked="0"/>
    </xf>
    <xf numFmtId="1" fontId="5" fillId="5" borderId="92" xfId="1" applyNumberFormat="1" applyFont="1" applyFill="1" applyBorder="1" applyAlignment="1" applyProtection="1">
      <alignment horizontal="center"/>
      <protection locked="0"/>
    </xf>
    <xf numFmtId="0" fontId="5" fillId="5" borderId="92" xfId="2" applyFill="1" applyBorder="1" applyAlignment="1" applyProtection="1">
      <alignment horizontal="center"/>
      <protection locked="0"/>
    </xf>
    <xf numFmtId="0" fontId="5" fillId="16" borderId="93" xfId="0" applyFont="1" applyFill="1" applyBorder="1" applyProtection="1">
      <protection locked="0"/>
    </xf>
    <xf numFmtId="0" fontId="5" fillId="5" borderId="89" xfId="2" applyFont="1" applyFill="1" applyBorder="1" applyAlignment="1" applyProtection="1">
      <alignment horizontal="center"/>
      <protection locked="0"/>
    </xf>
    <xf numFmtId="0" fontId="5" fillId="5" borderId="92" xfId="0" applyFont="1" applyFill="1" applyBorder="1" applyAlignment="1" applyProtection="1">
      <alignment horizontal="center"/>
      <protection locked="0"/>
    </xf>
    <xf numFmtId="0" fontId="5" fillId="16" borderId="101" xfId="0" applyFont="1" applyFill="1" applyBorder="1" applyProtection="1">
      <protection locked="0"/>
    </xf>
    <xf numFmtId="0" fontId="61" fillId="5" borderId="103" xfId="2" applyFont="1" applyFill="1" applyBorder="1" applyProtection="1">
      <protection locked="0"/>
    </xf>
    <xf numFmtId="0" fontId="5" fillId="5" borderId="103" xfId="2" applyFont="1" applyFill="1" applyBorder="1" applyAlignment="1" applyProtection="1">
      <alignment horizontal="center"/>
      <protection locked="0"/>
    </xf>
    <xf numFmtId="0" fontId="5" fillId="5" borderId="104" xfId="0" applyFont="1" applyFill="1" applyBorder="1" applyAlignment="1" applyProtection="1">
      <alignment horizontal="center"/>
      <protection locked="0"/>
    </xf>
    <xf numFmtId="0" fontId="5" fillId="16" borderId="105" xfId="0" applyFont="1" applyFill="1" applyBorder="1" applyProtection="1">
      <protection locked="0"/>
    </xf>
    <xf numFmtId="0" fontId="5" fillId="5" borderId="230" xfId="410" applyFont="1" applyFill="1" applyBorder="1" applyAlignment="1" applyProtection="1">
      <alignment horizontal="center"/>
      <protection locked="0"/>
    </xf>
    <xf numFmtId="0" fontId="21" fillId="4" borderId="0" xfId="424" applyFont="1" applyFill="1" applyBorder="1" applyAlignment="1" applyProtection="1">
      <alignment horizontal="left"/>
      <protection hidden="1"/>
    </xf>
    <xf numFmtId="0" fontId="21" fillId="2" borderId="0" xfId="288" applyFont="1" applyFill="1" applyAlignment="1" applyProtection="1">
      <alignment horizontal="center"/>
      <protection hidden="1"/>
    </xf>
    <xf numFmtId="0" fontId="1" fillId="2" borderId="0" xfId="411" applyFill="1" applyAlignment="1" applyProtection="1">
      <alignment horizontal="center"/>
      <protection hidden="1"/>
    </xf>
    <xf numFmtId="0" fontId="47" fillId="4" borderId="0" xfId="413" applyFont="1" applyFill="1" applyProtection="1">
      <protection hidden="1"/>
    </xf>
    <xf numFmtId="0" fontId="2" fillId="4" borderId="0" xfId="424" applyFont="1" applyFill="1" applyAlignment="1" applyProtection="1">
      <alignment horizontal="right"/>
      <protection hidden="1"/>
    </xf>
    <xf numFmtId="14" fontId="118" fillId="4" borderId="0" xfId="424" applyNumberFormat="1" applyFont="1" applyFill="1" applyProtection="1">
      <protection hidden="1"/>
    </xf>
    <xf numFmtId="0" fontId="13" fillId="4" borderId="0" xfId="2142" applyFont="1" applyFill="1" applyAlignment="1" applyProtection="1">
      <alignment horizontal="left"/>
      <protection hidden="1"/>
    </xf>
    <xf numFmtId="0" fontId="1" fillId="2" borderId="0" xfId="424" applyFont="1" applyFill="1" applyProtection="1">
      <protection hidden="1"/>
    </xf>
    <xf numFmtId="2" fontId="1" fillId="3" borderId="570" xfId="4" applyNumberFormat="1" applyFont="1" applyFill="1" applyBorder="1" applyAlignment="1" applyProtection="1">
      <alignment horizontal="center"/>
      <protection hidden="1"/>
    </xf>
    <xf numFmtId="0" fontId="219" fillId="14" borderId="0" xfId="424" applyFont="1" applyFill="1" applyBorder="1" applyAlignment="1" applyProtection="1">
      <alignment vertical="center" wrapText="1"/>
      <protection hidden="1"/>
    </xf>
    <xf numFmtId="0" fontId="1" fillId="5" borderId="570" xfId="4" applyFont="1" applyFill="1" applyBorder="1" applyAlignment="1" applyProtection="1">
      <alignment horizontal="left"/>
      <protection locked="0"/>
    </xf>
    <xf numFmtId="2" fontId="136" fillId="5" borderId="570" xfId="411" applyNumberFormat="1" applyFont="1" applyFill="1" applyBorder="1" applyAlignment="1" applyProtection="1">
      <alignment horizontal="center" wrapText="1"/>
      <protection locked="0"/>
    </xf>
    <xf numFmtId="0" fontId="136" fillId="5" borderId="570" xfId="411" applyFont="1" applyFill="1" applyBorder="1" applyAlignment="1" applyProtection="1">
      <alignment horizontal="center"/>
      <protection locked="0"/>
    </xf>
    <xf numFmtId="0" fontId="1" fillId="0" borderId="469" xfId="429" applyFont="1" applyBorder="1" applyProtection="1">
      <protection hidden="1"/>
    </xf>
    <xf numFmtId="0" fontId="220" fillId="3" borderId="469" xfId="411" applyFont="1" applyFill="1" applyBorder="1" applyAlignment="1" applyProtection="1">
      <alignment horizontal="center"/>
      <protection hidden="1"/>
    </xf>
    <xf numFmtId="0" fontId="39" fillId="4" borderId="0" xfId="424" applyFont="1" applyFill="1" applyProtection="1">
      <protection hidden="1"/>
    </xf>
    <xf numFmtId="0" fontId="1" fillId="3" borderId="570" xfId="4" applyFont="1" applyFill="1" applyBorder="1" applyAlignment="1" applyProtection="1">
      <alignment horizontal="center"/>
      <protection hidden="1"/>
    </xf>
    <xf numFmtId="0" fontId="1" fillId="3" borderId="570" xfId="4" applyFont="1" applyFill="1" applyBorder="1" applyAlignment="1" applyProtection="1">
      <alignment horizontal="center" vertical="center"/>
      <protection hidden="1"/>
    </xf>
    <xf numFmtId="0" fontId="174" fillId="4" borderId="0" xfId="429" applyFont="1" applyFill="1" applyAlignment="1" applyProtection="1">
      <alignment horizontal="left"/>
      <protection hidden="1"/>
    </xf>
    <xf numFmtId="0" fontId="1" fillId="5" borderId="570" xfId="4" applyFont="1" applyFill="1" applyBorder="1" applyAlignment="1" applyProtection="1">
      <alignment horizontal="center"/>
      <protection locked="0"/>
    </xf>
    <xf numFmtId="2" fontId="1" fillId="3" borderId="469" xfId="4" applyNumberFormat="1" applyFont="1" applyFill="1" applyBorder="1" applyAlignment="1" applyProtection="1">
      <alignment horizontal="center"/>
      <protection hidden="1"/>
    </xf>
    <xf numFmtId="2" fontId="1" fillId="5" borderId="469" xfId="4" applyNumberFormat="1" applyFont="1" applyFill="1" applyBorder="1" applyAlignment="1" applyProtection="1">
      <alignment horizontal="center"/>
      <protection locked="0"/>
    </xf>
    <xf numFmtId="0" fontId="1" fillId="3" borderId="570" xfId="424" applyFont="1" applyFill="1" applyBorder="1" applyAlignment="1" applyProtection="1">
      <alignment horizontal="center"/>
      <protection hidden="1"/>
    </xf>
    <xf numFmtId="1" fontId="1" fillId="3" borderId="570" xfId="4" applyNumberFormat="1" applyFont="1" applyFill="1" applyBorder="1" applyAlignment="1" applyProtection="1">
      <alignment horizontal="center"/>
      <protection hidden="1"/>
    </xf>
    <xf numFmtId="2" fontId="1" fillId="3" borderId="570" xfId="411" applyNumberFormat="1" applyFill="1" applyBorder="1" applyAlignment="1" applyProtection="1">
      <alignment horizontal="center"/>
      <protection hidden="1"/>
    </xf>
    <xf numFmtId="2" fontId="1" fillId="3" borderId="574" xfId="4" applyNumberFormat="1" applyFont="1" applyFill="1" applyBorder="1" applyAlignment="1" applyProtection="1">
      <alignment horizontal="center"/>
      <protection hidden="1"/>
    </xf>
    <xf numFmtId="2" fontId="1" fillId="5" borderId="570" xfId="4" applyNumberFormat="1" applyFont="1" applyFill="1" applyBorder="1" applyAlignment="1" applyProtection="1">
      <alignment horizontal="center"/>
      <protection locked="0"/>
    </xf>
    <xf numFmtId="2" fontId="1" fillId="3" borderId="569" xfId="4" applyNumberFormat="1" applyFont="1" applyFill="1" applyBorder="1" applyAlignment="1" applyProtection="1">
      <alignment horizontal="center"/>
      <protection hidden="1"/>
    </xf>
    <xf numFmtId="0" fontId="1" fillId="5" borderId="570" xfId="411" applyFill="1" applyBorder="1" applyAlignment="1" applyProtection="1">
      <alignment horizontal="left" wrapText="1"/>
      <protection locked="0"/>
    </xf>
    <xf numFmtId="0" fontId="1" fillId="3" borderId="0" xfId="424" applyFont="1" applyFill="1" applyAlignment="1" applyProtection="1">
      <alignment horizontal="left" vertical="top" wrapText="1"/>
      <protection hidden="1"/>
    </xf>
    <xf numFmtId="0" fontId="1" fillId="2" borderId="0" xfId="429" applyFont="1" applyFill="1" applyAlignment="1" applyProtection="1">
      <alignment vertical="top" wrapText="1" shrinkToFit="1"/>
      <protection hidden="1"/>
    </xf>
    <xf numFmtId="0" fontId="174" fillId="4" borderId="0" xfId="429" applyFont="1" applyFill="1" applyBorder="1" applyAlignment="1" applyProtection="1">
      <alignment horizontal="left"/>
      <protection hidden="1"/>
    </xf>
    <xf numFmtId="0" fontId="1" fillId="2" borderId="0" xfId="429" applyFont="1" applyFill="1" applyProtection="1">
      <protection hidden="1"/>
    </xf>
    <xf numFmtId="0" fontId="1" fillId="16" borderId="570" xfId="424" applyFont="1" applyFill="1" applyBorder="1" applyAlignment="1" applyProtection="1">
      <alignment horizontal="center"/>
      <protection locked="0"/>
    </xf>
    <xf numFmtId="164" fontId="1" fillId="16" borderId="570" xfId="424" applyNumberFormat="1" applyFont="1" applyFill="1" applyBorder="1" applyAlignment="1" applyProtection="1">
      <alignment horizontal="center"/>
      <protection locked="0"/>
    </xf>
    <xf numFmtId="0" fontId="174" fillId="4" borderId="0" xfId="424" applyFont="1" applyFill="1" applyAlignment="1" applyProtection="1">
      <alignment horizontal="left"/>
      <protection hidden="1"/>
    </xf>
    <xf numFmtId="0" fontId="1" fillId="2" borderId="570" xfId="424" applyFont="1" applyFill="1" applyBorder="1" applyAlignment="1" applyProtection="1">
      <alignment horizontal="center"/>
      <protection hidden="1"/>
    </xf>
    <xf numFmtId="2" fontId="1" fillId="3" borderId="574" xfId="424" applyNumberFormat="1" applyFont="1" applyFill="1" applyBorder="1" applyAlignment="1" applyProtection="1">
      <alignment horizontal="center"/>
      <protection hidden="1"/>
    </xf>
    <xf numFmtId="2" fontId="1" fillId="0" borderId="570" xfId="429" applyNumberFormat="1" applyFont="1" applyBorder="1" applyAlignment="1" applyProtection="1">
      <alignment horizontal="center"/>
      <protection hidden="1"/>
    </xf>
    <xf numFmtId="0" fontId="1" fillId="5" borderId="574" xfId="4" applyFont="1" applyFill="1" applyBorder="1" applyAlignment="1" applyProtection="1">
      <alignment horizontal="left"/>
      <protection locked="0"/>
    </xf>
    <xf numFmtId="0" fontId="51" fillId="4" borderId="0" xfId="424" applyFont="1" applyFill="1" applyProtection="1">
      <protection hidden="1"/>
    </xf>
    <xf numFmtId="2" fontId="204" fillId="3" borderId="570" xfId="288" applyNumberFormat="1" applyFont="1" applyFill="1" applyBorder="1" applyAlignment="1" applyProtection="1">
      <alignment horizontal="center" wrapText="1"/>
      <protection hidden="1"/>
    </xf>
    <xf numFmtId="0" fontId="5" fillId="0" borderId="0" xfId="424"/>
    <xf numFmtId="0" fontId="1" fillId="14" borderId="0" xfId="429" applyFont="1" applyFill="1" applyProtection="1">
      <protection hidden="1"/>
    </xf>
    <xf numFmtId="0" fontId="136" fillId="2" borderId="0" xfId="424" applyFont="1" applyFill="1" applyAlignment="1" applyProtection="1">
      <alignment horizontal="right" vertical="top"/>
      <protection hidden="1"/>
    </xf>
    <xf numFmtId="0" fontId="5" fillId="4" borderId="0" xfId="424" applyFill="1" applyAlignment="1" applyProtection="1">
      <alignment horizontal="left"/>
      <protection hidden="1"/>
    </xf>
    <xf numFmtId="0" fontId="71" fillId="2" borderId="0" xfId="424" applyFont="1" applyFill="1" applyAlignment="1" applyProtection="1">
      <protection hidden="1"/>
    </xf>
    <xf numFmtId="0" fontId="5" fillId="4" borderId="0" xfId="424" applyFont="1" applyFill="1" applyAlignment="1" applyProtection="1">
      <alignment horizontal="left" vertical="top" wrapText="1"/>
      <protection hidden="1"/>
    </xf>
    <xf numFmtId="0" fontId="5" fillId="4" borderId="0" xfId="424" applyFont="1" applyFill="1" applyProtection="1">
      <protection hidden="1"/>
    </xf>
    <xf numFmtId="0" fontId="5" fillId="4" borderId="0" xfId="424" applyFont="1" applyFill="1" applyAlignment="1" applyProtection="1">
      <alignment horizontal="center"/>
      <protection hidden="1"/>
    </xf>
    <xf numFmtId="170" fontId="220" fillId="3" borderId="466" xfId="411" applyNumberFormat="1" applyFont="1" applyFill="1" applyBorder="1" applyAlignment="1" applyProtection="1">
      <alignment horizontal="center" wrapText="1"/>
      <protection hidden="1"/>
    </xf>
    <xf numFmtId="0" fontId="220" fillId="3" borderId="537" xfId="4" applyFont="1" applyFill="1" applyBorder="1" applyAlignment="1" applyProtection="1">
      <alignment horizontal="center"/>
      <protection hidden="1"/>
    </xf>
    <xf numFmtId="0" fontId="1" fillId="3" borderId="574" xfId="4" applyFont="1" applyFill="1" applyBorder="1" applyAlignment="1" applyProtection="1">
      <alignment horizontal="center"/>
      <protection hidden="1"/>
    </xf>
    <xf numFmtId="0" fontId="1" fillId="3" borderId="569" xfId="4" applyFont="1" applyFill="1" applyBorder="1" applyAlignment="1" applyProtection="1">
      <alignment horizontal="center"/>
      <protection hidden="1"/>
    </xf>
    <xf numFmtId="0" fontId="1" fillId="3" borderId="537" xfId="4" applyFont="1" applyFill="1" applyBorder="1" applyAlignment="1" applyProtection="1">
      <alignment horizontal="center" vertical="center"/>
      <protection hidden="1"/>
    </xf>
    <xf numFmtId="0" fontId="136" fillId="0" borderId="0" xfId="2" applyFont="1" applyFill="1" applyProtection="1">
      <protection hidden="1"/>
    </xf>
    <xf numFmtId="0" fontId="5" fillId="0" borderId="193" xfId="411" applyFont="1" applyFill="1" applyBorder="1" applyProtection="1">
      <protection hidden="1"/>
    </xf>
    <xf numFmtId="0" fontId="5" fillId="0" borderId="578" xfId="411" applyFont="1" applyFill="1" applyBorder="1" applyProtection="1">
      <protection hidden="1"/>
    </xf>
    <xf numFmtId="0" fontId="204" fillId="62" borderId="0" xfId="429" applyFont="1" applyFill="1" applyBorder="1" applyAlignment="1" applyProtection="1">
      <alignment horizontal="center"/>
      <protection hidden="1"/>
    </xf>
    <xf numFmtId="166" fontId="5" fillId="0" borderId="193" xfId="412" applyNumberFormat="1" applyFont="1" applyFill="1" applyBorder="1" applyProtection="1">
      <protection hidden="1"/>
    </xf>
    <xf numFmtId="166" fontId="44" fillId="0" borderId="193" xfId="412" applyNumberFormat="1" applyFont="1" applyFill="1" applyBorder="1" applyProtection="1">
      <protection hidden="1"/>
    </xf>
    <xf numFmtId="166" fontId="5" fillId="0" borderId="578" xfId="412" applyNumberFormat="1" applyFont="1" applyFill="1" applyBorder="1" applyProtection="1">
      <protection hidden="1"/>
    </xf>
    <xf numFmtId="0" fontId="5" fillId="0" borderId="573" xfId="411" applyFont="1" applyFill="1" applyBorder="1" applyProtection="1">
      <protection hidden="1"/>
    </xf>
    <xf numFmtId="166" fontId="5" fillId="0" borderId="573" xfId="412" applyNumberFormat="1" applyFont="1" applyFill="1" applyBorder="1" applyProtection="1">
      <protection hidden="1"/>
    </xf>
    <xf numFmtId="0" fontId="5" fillId="0" borderId="0" xfId="410" applyFont="1" applyFill="1" applyAlignment="1" applyProtection="1">
      <alignment horizontal="right"/>
      <protection hidden="1"/>
    </xf>
    <xf numFmtId="0" fontId="26" fillId="0" borderId="573" xfId="1" applyFont="1" applyBorder="1" applyAlignment="1" applyProtection="1">
      <alignment horizontal="right"/>
      <protection hidden="1"/>
    </xf>
    <xf numFmtId="166" fontId="26" fillId="0" borderId="573" xfId="1" applyNumberFormat="1" applyFont="1" applyBorder="1" applyAlignment="1" applyProtection="1">
      <alignment horizontal="center"/>
      <protection hidden="1"/>
    </xf>
    <xf numFmtId="166" fontId="26" fillId="4" borderId="573" xfId="411" applyNumberFormat="1" applyFont="1" applyFill="1" applyBorder="1" applyAlignment="1" applyProtection="1">
      <alignment horizontal="center" vertical="center" wrapText="1"/>
      <protection hidden="1"/>
    </xf>
    <xf numFmtId="0" fontId="26" fillId="4" borderId="578" xfId="411" applyFont="1" applyFill="1" applyBorder="1" applyAlignment="1" applyProtection="1">
      <alignment horizontal="center"/>
      <protection hidden="1"/>
    </xf>
    <xf numFmtId="166" fontId="26" fillId="4" borderId="578" xfId="411" applyNumberFormat="1" applyFont="1" applyFill="1" applyBorder="1" applyAlignment="1" applyProtection="1">
      <alignment horizontal="center"/>
      <protection hidden="1"/>
    </xf>
    <xf numFmtId="0" fontId="5" fillId="0" borderId="193" xfId="424" applyFont="1" applyFill="1" applyBorder="1" applyAlignment="1" applyProtection="1">
      <alignment horizontal="center"/>
      <protection hidden="1"/>
    </xf>
    <xf numFmtId="0" fontId="5" fillId="0" borderId="578" xfId="424" applyFont="1" applyFill="1" applyBorder="1" applyAlignment="1" applyProtection="1">
      <alignment horizontal="center"/>
      <protection hidden="1"/>
    </xf>
    <xf numFmtId="164" fontId="5" fillId="2" borderId="0" xfId="6" applyNumberFormat="1" applyFont="1" applyFill="1" applyBorder="1" applyAlignment="1" applyProtection="1">
      <protection hidden="1"/>
    </xf>
    <xf numFmtId="2" fontId="20" fillId="6" borderId="570" xfId="411" applyNumberFormat="1" applyFont="1" applyFill="1" applyBorder="1" applyAlignment="1" applyProtection="1">
      <alignment horizontal="center"/>
      <protection locked="0"/>
    </xf>
    <xf numFmtId="0" fontId="292" fillId="0" borderId="405" xfId="413" applyFont="1" applyBorder="1" applyAlignment="1" applyProtection="1">
      <alignment horizontal="center"/>
      <protection hidden="1"/>
    </xf>
    <xf numFmtId="0" fontId="292" fillId="0" borderId="408" xfId="413" applyFont="1" applyBorder="1" applyAlignment="1" applyProtection="1">
      <alignment horizontal="center"/>
      <protection hidden="1"/>
    </xf>
    <xf numFmtId="0" fontId="292" fillId="0" borderId="406" xfId="413" applyFont="1" applyBorder="1" applyAlignment="1" applyProtection="1">
      <alignment horizontal="center"/>
      <protection hidden="1"/>
    </xf>
    <xf numFmtId="0" fontId="293" fillId="0" borderId="148" xfId="413" applyFont="1" applyBorder="1" applyAlignment="1" applyProtection="1">
      <protection hidden="1"/>
    </xf>
    <xf numFmtId="0" fontId="293" fillId="0" borderId="449" xfId="413" applyFont="1" applyBorder="1" applyAlignment="1" applyProtection="1">
      <protection hidden="1"/>
    </xf>
    <xf numFmtId="0" fontId="293" fillId="0" borderId="452" xfId="413" applyFont="1" applyBorder="1" applyAlignment="1" applyProtection="1">
      <protection hidden="1"/>
    </xf>
    <xf numFmtId="0" fontId="293" fillId="0" borderId="76" xfId="413" applyFont="1" applyBorder="1" applyAlignment="1" applyProtection="1">
      <protection hidden="1"/>
    </xf>
    <xf numFmtId="0" fontId="293" fillId="0" borderId="446" xfId="413" applyFont="1" applyBorder="1" applyAlignment="1" applyProtection="1">
      <protection hidden="1"/>
    </xf>
    <xf numFmtId="0" fontId="5" fillId="5" borderId="580" xfId="288" applyFont="1" applyFill="1" applyBorder="1" applyProtection="1">
      <protection hidden="1"/>
    </xf>
    <xf numFmtId="2" fontId="294" fillId="5" borderId="570" xfId="411" applyNumberFormat="1" applyFont="1" applyFill="1" applyBorder="1" applyAlignment="1" applyProtection="1">
      <alignment horizontal="center"/>
      <protection locked="0"/>
    </xf>
    <xf numFmtId="0" fontId="294" fillId="3" borderId="193" xfId="411" applyFont="1" applyFill="1" applyBorder="1" applyAlignment="1" applyProtection="1">
      <alignment horizontal="center" wrapText="1"/>
      <protection hidden="1"/>
    </xf>
    <xf numFmtId="2" fontId="295" fillId="3" borderId="466" xfId="411" applyNumberFormat="1" applyFont="1" applyFill="1" applyBorder="1" applyAlignment="1" applyProtection="1">
      <alignment horizontal="center"/>
      <protection hidden="1"/>
    </xf>
    <xf numFmtId="166" fontId="295" fillId="3" borderId="570" xfId="4" applyNumberFormat="1" applyFont="1" applyFill="1" applyBorder="1" applyAlignment="1" applyProtection="1">
      <alignment horizontal="center"/>
      <protection hidden="1"/>
    </xf>
    <xf numFmtId="164" fontId="295" fillId="3" borderId="570" xfId="4" applyNumberFormat="1" applyFont="1" applyFill="1" applyBorder="1" applyAlignment="1" applyProtection="1">
      <alignment horizontal="center"/>
      <protection hidden="1"/>
    </xf>
    <xf numFmtId="0" fontId="294" fillId="5" borderId="570" xfId="411" applyNumberFormat="1" applyFont="1" applyFill="1" applyBorder="1" applyAlignment="1" applyProtection="1">
      <alignment horizontal="center"/>
      <protection locked="0"/>
    </xf>
    <xf numFmtId="0" fontId="20" fillId="2" borderId="0" xfId="429" applyFont="1" applyFill="1" applyAlignment="1" applyProtection="1">
      <protection hidden="1"/>
    </xf>
    <xf numFmtId="0" fontId="5" fillId="2" borderId="302" xfId="2" applyFont="1" applyFill="1" applyBorder="1" applyAlignment="1" applyProtection="1">
      <protection hidden="1"/>
    </xf>
    <xf numFmtId="0" fontId="44" fillId="4" borderId="0" xfId="424" applyFont="1" applyFill="1" applyProtection="1">
      <protection hidden="1"/>
    </xf>
    <xf numFmtId="0" fontId="5" fillId="2" borderId="0" xfId="2" applyFont="1" applyFill="1" applyBorder="1" applyAlignment="1" applyProtection="1">
      <protection hidden="1"/>
    </xf>
    <xf numFmtId="0" fontId="5" fillId="3" borderId="544" xfId="413" applyFont="1" applyFill="1" applyBorder="1" applyAlignment="1" applyProtection="1">
      <alignment horizontal="right"/>
      <protection hidden="1"/>
    </xf>
    <xf numFmtId="0" fontId="5" fillId="3" borderId="544" xfId="2" applyFont="1" applyFill="1" applyBorder="1" applyAlignment="1" applyProtection="1">
      <alignment horizontal="right"/>
      <protection hidden="1"/>
    </xf>
    <xf numFmtId="0" fontId="5" fillId="3" borderId="543" xfId="2" applyFont="1" applyFill="1" applyBorder="1" applyAlignment="1" applyProtection="1">
      <protection hidden="1"/>
    </xf>
    <xf numFmtId="0" fontId="5" fillId="0" borderId="544" xfId="2" applyFont="1" applyBorder="1" applyAlignment="1" applyProtection="1">
      <alignment horizontal="right"/>
      <protection hidden="1"/>
    </xf>
    <xf numFmtId="0" fontId="5" fillId="5" borderId="544" xfId="413" applyFont="1" applyFill="1" applyBorder="1" applyAlignment="1" applyProtection="1">
      <alignment horizontal="center"/>
      <protection locked="0"/>
    </xf>
    <xf numFmtId="0" fontId="5" fillId="3" borderId="302" xfId="2" applyFont="1" applyFill="1" applyBorder="1" applyProtection="1">
      <protection hidden="1"/>
    </xf>
    <xf numFmtId="0" fontId="51" fillId="3" borderId="0" xfId="413" applyFont="1" applyFill="1" applyBorder="1" applyAlignment="1" applyProtection="1">
      <protection hidden="1"/>
    </xf>
    <xf numFmtId="0" fontId="5" fillId="0" borderId="544" xfId="2" applyFont="1" applyBorder="1" applyAlignment="1" applyProtection="1">
      <alignment horizontal="center"/>
      <protection hidden="1"/>
    </xf>
    <xf numFmtId="164" fontId="105" fillId="3" borderId="544" xfId="2" applyNumberFormat="1" applyFont="1" applyFill="1" applyBorder="1" applyAlignment="1" applyProtection="1">
      <alignment horizontal="center"/>
      <protection hidden="1"/>
    </xf>
    <xf numFmtId="0" fontId="44" fillId="47" borderId="180" xfId="198" applyFont="1" applyFill="1" applyBorder="1" applyAlignment="1" applyProtection="1">
      <alignment horizontal="center"/>
      <protection hidden="1"/>
    </xf>
    <xf numFmtId="0" fontId="89" fillId="4" borderId="0" xfId="198" applyFont="1" applyFill="1" applyProtection="1">
      <protection hidden="1"/>
    </xf>
    <xf numFmtId="0" fontId="5" fillId="0" borderId="584" xfId="2" applyBorder="1" applyProtection="1">
      <protection hidden="1"/>
    </xf>
    <xf numFmtId="0" fontId="44" fillId="47" borderId="582" xfId="198" applyFont="1" applyFill="1" applyBorder="1" applyAlignment="1" applyProtection="1">
      <protection hidden="1"/>
    </xf>
    <xf numFmtId="0" fontId="52" fillId="0" borderId="65" xfId="2" applyFont="1" applyBorder="1" applyProtection="1">
      <protection hidden="1"/>
    </xf>
    <xf numFmtId="0" fontId="5" fillId="0" borderId="69" xfId="2" applyBorder="1" applyAlignment="1" applyProtection="1">
      <alignment horizontal="right"/>
      <protection hidden="1"/>
    </xf>
    <xf numFmtId="0" fontId="44" fillId="47" borderId="589" xfId="198" applyFont="1" applyFill="1" applyBorder="1" applyAlignment="1" applyProtection="1">
      <alignment horizontal="center"/>
      <protection hidden="1"/>
    </xf>
    <xf numFmtId="0" fontId="44" fillId="47" borderId="570" xfId="198" applyFont="1" applyFill="1" applyBorder="1" applyAlignment="1" applyProtection="1">
      <protection hidden="1"/>
    </xf>
    <xf numFmtId="0" fontId="44" fillId="47" borderId="0" xfId="198" applyFont="1" applyFill="1" applyBorder="1" applyAlignment="1" applyProtection="1">
      <alignment horizontal="left"/>
      <protection hidden="1"/>
    </xf>
    <xf numFmtId="169" fontId="8" fillId="4" borderId="0" xfId="429" applyNumberFormat="1" applyFont="1" applyFill="1" applyBorder="1" applyAlignment="1" applyProtection="1">
      <protection hidden="1"/>
    </xf>
    <xf numFmtId="1" fontId="71" fillId="2" borderId="302" xfId="2" applyNumberFormat="1" applyFont="1" applyFill="1" applyBorder="1" applyAlignment="1" applyProtection="1">
      <protection hidden="1"/>
    </xf>
    <xf numFmtId="1" fontId="71" fillId="2" borderId="0" xfId="2" applyNumberFormat="1" applyFont="1" applyFill="1" applyBorder="1" applyAlignment="1" applyProtection="1">
      <protection hidden="1"/>
    </xf>
    <xf numFmtId="0" fontId="44" fillId="0" borderId="34" xfId="6" applyFont="1" applyBorder="1" applyProtection="1">
      <protection hidden="1"/>
    </xf>
    <xf numFmtId="0" fontId="44" fillId="0" borderId="69" xfId="2" applyFont="1" applyBorder="1" applyProtection="1">
      <protection hidden="1"/>
    </xf>
    <xf numFmtId="0" fontId="5" fillId="0" borderId="591" xfId="2" applyBorder="1" applyProtection="1">
      <protection hidden="1"/>
    </xf>
    <xf numFmtId="0" fontId="51" fillId="3" borderId="0" xfId="429" applyFont="1" applyFill="1" applyBorder="1" applyAlignment="1" applyProtection="1">
      <alignment horizontal="center" wrapText="1"/>
      <protection hidden="1"/>
    </xf>
    <xf numFmtId="2" fontId="47" fillId="2" borderId="0" xfId="413" applyNumberFormat="1" applyFont="1" applyFill="1" applyAlignment="1" applyProtection="1">
      <protection hidden="1"/>
    </xf>
    <xf numFmtId="166" fontId="295" fillId="3" borderId="537" xfId="4" applyNumberFormat="1" applyFont="1" applyFill="1" applyBorder="1" applyAlignment="1" applyProtection="1">
      <alignment horizontal="center"/>
      <protection hidden="1"/>
    </xf>
    <xf numFmtId="166" fontId="295" fillId="3" borderId="537" xfId="4" applyNumberFormat="1" applyFont="1" applyFill="1" applyBorder="1" applyAlignment="1" applyProtection="1">
      <alignment horizontal="center" wrapText="1"/>
      <protection hidden="1"/>
    </xf>
    <xf numFmtId="0" fontId="34" fillId="2" borderId="0" xfId="2" applyFont="1" applyFill="1" applyAlignment="1" applyProtection="1">
      <alignment vertical="top"/>
      <protection hidden="1"/>
    </xf>
    <xf numFmtId="0" fontId="5" fillId="4" borderId="343" xfId="283" applyFont="1" applyFill="1" applyBorder="1" applyProtection="1">
      <protection hidden="1"/>
    </xf>
    <xf numFmtId="164" fontId="77" fillId="4" borderId="468" xfId="283" applyNumberFormat="1" applyFont="1" applyFill="1" applyBorder="1" applyAlignment="1" applyProtection="1">
      <alignment horizontal="center" vertical="top" wrapText="1"/>
      <protection hidden="1"/>
    </xf>
    <xf numFmtId="164" fontId="77" fillId="4" borderId="578" xfId="283" applyNumberFormat="1" applyFont="1" applyFill="1" applyBorder="1" applyAlignment="1" applyProtection="1">
      <alignment horizontal="center" vertical="top" wrapText="1"/>
      <protection hidden="1"/>
    </xf>
    <xf numFmtId="164" fontId="5" fillId="0" borderId="468" xfId="283" applyNumberFormat="1" applyFont="1" applyFill="1" applyBorder="1" applyAlignment="1" applyProtection="1">
      <alignment horizontal="center"/>
      <protection hidden="1"/>
    </xf>
    <xf numFmtId="0" fontId="5" fillId="16" borderId="342" xfId="283" applyFont="1" applyFill="1" applyBorder="1" applyProtection="1">
      <protection locked="0"/>
    </xf>
    <xf numFmtId="0" fontId="297" fillId="0" borderId="570" xfId="283" applyFont="1" applyFill="1" applyBorder="1" applyAlignment="1" applyProtection="1">
      <alignment horizontal="center"/>
      <protection hidden="1"/>
    </xf>
    <xf numFmtId="0" fontId="175" fillId="0" borderId="570" xfId="283" applyFont="1" applyFill="1" applyBorder="1" applyAlignment="1" applyProtection="1">
      <alignment horizontal="center"/>
      <protection hidden="1"/>
    </xf>
    <xf numFmtId="164" fontId="5" fillId="0" borderId="193" xfId="0" applyNumberFormat="1" applyFont="1" applyBorder="1" applyAlignment="1" applyProtection="1">
      <alignment horizontal="center"/>
      <protection hidden="1"/>
    </xf>
    <xf numFmtId="164" fontId="5" fillId="0" borderId="578" xfId="0" applyNumberFormat="1" applyFont="1" applyBorder="1" applyAlignment="1" applyProtection="1">
      <alignment horizontal="center"/>
      <protection hidden="1"/>
    </xf>
    <xf numFmtId="2" fontId="297" fillId="16" borderId="570" xfId="283" applyNumberFormat="1" applyFont="1" applyFill="1" applyBorder="1" applyAlignment="1" applyProtection="1">
      <alignment horizontal="center"/>
      <protection locked="0"/>
    </xf>
    <xf numFmtId="0" fontId="5" fillId="4" borderId="467" xfId="283" applyFont="1" applyFill="1" applyBorder="1" applyProtection="1">
      <protection hidden="1"/>
    </xf>
    <xf numFmtId="0" fontId="299" fillId="0" borderId="570" xfId="283" applyFont="1" applyFill="1" applyBorder="1" applyAlignment="1" applyProtection="1">
      <alignment horizontal="center"/>
      <protection hidden="1"/>
    </xf>
    <xf numFmtId="2" fontId="297" fillId="16" borderId="574" xfId="283" applyNumberFormat="1" applyFont="1" applyFill="1" applyBorder="1" applyAlignment="1" applyProtection="1">
      <alignment horizontal="center"/>
      <protection locked="0"/>
    </xf>
    <xf numFmtId="2" fontId="299" fillId="0" borderId="570" xfId="0" applyNumberFormat="1" applyFont="1" applyBorder="1" applyAlignment="1" applyProtection="1">
      <alignment horizontal="center"/>
      <protection hidden="1"/>
    </xf>
    <xf numFmtId="164" fontId="5" fillId="0" borderId="570" xfId="0" applyNumberFormat="1" applyFont="1" applyBorder="1" applyAlignment="1" applyProtection="1">
      <alignment horizontal="center"/>
      <protection hidden="1"/>
    </xf>
    <xf numFmtId="2" fontId="175" fillId="0" borderId="193" xfId="0" applyNumberFormat="1" applyFont="1" applyBorder="1" applyAlignment="1" applyProtection="1">
      <alignment horizontal="center"/>
      <protection hidden="1"/>
    </xf>
    <xf numFmtId="2" fontId="299" fillId="0" borderId="468" xfId="0" applyNumberFormat="1" applyFont="1" applyBorder="1" applyAlignment="1" applyProtection="1">
      <alignment horizontal="center"/>
      <protection hidden="1"/>
    </xf>
    <xf numFmtId="2" fontId="299" fillId="0" borderId="193" xfId="0" applyNumberFormat="1" applyFont="1" applyBorder="1" applyAlignment="1" applyProtection="1">
      <alignment horizontal="center"/>
      <protection hidden="1"/>
    </xf>
    <xf numFmtId="2" fontId="299" fillId="0" borderId="578" xfId="0" applyNumberFormat="1" applyFont="1" applyBorder="1" applyAlignment="1" applyProtection="1">
      <alignment horizontal="center"/>
      <protection hidden="1"/>
    </xf>
    <xf numFmtId="0" fontId="263" fillId="0" borderId="301" xfId="198" applyFont="1" applyBorder="1"/>
    <xf numFmtId="0" fontId="263" fillId="0" borderId="0" xfId="198" applyFont="1" applyBorder="1"/>
    <xf numFmtId="0" fontId="263" fillId="0" borderId="0" xfId="198" applyFont="1" applyBorder="1" applyProtection="1">
      <protection hidden="1"/>
    </xf>
    <xf numFmtId="2" fontId="297" fillId="0" borderId="0" xfId="283" applyNumberFormat="1" applyFont="1" applyFill="1" applyBorder="1" applyAlignment="1" applyProtection="1">
      <alignment horizontal="center"/>
      <protection hidden="1"/>
    </xf>
    <xf numFmtId="164" fontId="39" fillId="0" borderId="0" xfId="283" applyNumberFormat="1" applyFont="1" applyFill="1" applyBorder="1" applyAlignment="1" applyProtection="1">
      <alignment horizontal="left" wrapText="1"/>
      <protection hidden="1"/>
    </xf>
    <xf numFmtId="0" fontId="297" fillId="16" borderId="0" xfId="0" applyFont="1" applyFill="1" applyBorder="1" applyAlignment="1" applyProtection="1">
      <alignment horizontal="center" wrapText="1"/>
      <protection locked="0"/>
    </xf>
    <xf numFmtId="0" fontId="300" fillId="16" borderId="0" xfId="0" applyFont="1" applyFill="1" applyBorder="1" applyAlignment="1" applyProtection="1">
      <alignment horizontal="center" wrapText="1"/>
      <protection locked="0"/>
    </xf>
    <xf numFmtId="0" fontId="34" fillId="16" borderId="0" xfId="0" applyFont="1" applyFill="1" applyBorder="1" applyAlignment="1" applyProtection="1">
      <alignment horizontal="center" wrapText="1"/>
      <protection locked="0"/>
    </xf>
    <xf numFmtId="0" fontId="136" fillId="0" borderId="0" xfId="198" applyFont="1" applyProtection="1">
      <protection hidden="1"/>
    </xf>
    <xf numFmtId="0" fontId="136" fillId="0" borderId="302" xfId="198" applyFont="1" applyBorder="1" applyProtection="1">
      <protection hidden="1"/>
    </xf>
    <xf numFmtId="0" fontId="136" fillId="0" borderId="0" xfId="198" applyFont="1" applyBorder="1" applyProtection="1">
      <protection hidden="1"/>
    </xf>
    <xf numFmtId="0" fontId="39" fillId="4" borderId="302" xfId="283" applyFont="1" applyFill="1" applyBorder="1" applyAlignment="1" applyProtection="1">
      <alignment horizontal="left" wrapText="1"/>
      <protection hidden="1"/>
    </xf>
    <xf numFmtId="0" fontId="39" fillId="4" borderId="302" xfId="0" applyFont="1" applyFill="1" applyBorder="1" applyAlignment="1" applyProtection="1">
      <alignment wrapText="1"/>
      <protection hidden="1"/>
    </xf>
    <xf numFmtId="0" fontId="136" fillId="0" borderId="0" xfId="0" applyFont="1" applyBorder="1" applyAlignment="1" applyProtection="1">
      <alignment wrapText="1"/>
      <protection hidden="1"/>
    </xf>
    <xf numFmtId="0" fontId="39" fillId="4" borderId="301" xfId="198" applyFont="1" applyFill="1" applyBorder="1" applyProtection="1">
      <protection hidden="1"/>
    </xf>
    <xf numFmtId="0" fontId="39" fillId="4" borderId="193" xfId="198" applyFont="1" applyFill="1" applyBorder="1" applyAlignment="1" applyProtection="1">
      <alignment horizontal="left" wrapText="1"/>
      <protection hidden="1"/>
    </xf>
    <xf numFmtId="0" fontId="39" fillId="4" borderId="193" xfId="283" applyFont="1" applyFill="1" applyBorder="1" applyAlignment="1" applyProtection="1">
      <alignment horizontal="left" wrapText="1"/>
      <protection hidden="1"/>
    </xf>
    <xf numFmtId="2" fontId="297" fillId="0" borderId="0" xfId="198" applyNumberFormat="1" applyFont="1" applyBorder="1" applyAlignment="1" applyProtection="1">
      <alignment horizontal="center"/>
      <protection hidden="1"/>
    </xf>
    <xf numFmtId="2" fontId="39" fillId="4" borderId="193" xfId="283" applyNumberFormat="1" applyFont="1" applyFill="1" applyBorder="1" applyAlignment="1" applyProtection="1">
      <alignment horizontal="left" wrapText="1"/>
      <protection hidden="1"/>
    </xf>
    <xf numFmtId="2" fontId="39" fillId="4" borderId="193" xfId="0" applyNumberFormat="1" applyFont="1" applyFill="1" applyBorder="1" applyAlignment="1" applyProtection="1">
      <alignment horizontal="left" wrapText="1"/>
      <protection hidden="1"/>
    </xf>
    <xf numFmtId="0" fontId="39" fillId="4" borderId="193" xfId="0" applyFont="1" applyFill="1" applyBorder="1" applyAlignment="1" applyProtection="1">
      <alignment horizontal="left" wrapText="1"/>
      <protection hidden="1"/>
    </xf>
    <xf numFmtId="2" fontId="175" fillId="0" borderId="570" xfId="283" applyNumberFormat="1" applyFont="1" applyFill="1" applyBorder="1" applyAlignment="1" applyProtection="1">
      <alignment horizontal="center"/>
      <protection hidden="1"/>
    </xf>
    <xf numFmtId="164" fontId="39" fillId="4" borderId="193" xfId="283" applyNumberFormat="1" applyFont="1" applyFill="1" applyBorder="1" applyAlignment="1" applyProtection="1">
      <alignment horizontal="left" wrapText="1"/>
      <protection hidden="1"/>
    </xf>
    <xf numFmtId="0" fontId="0" fillId="4" borderId="0" xfId="0" applyFill="1" applyBorder="1" applyProtection="1">
      <protection hidden="1"/>
    </xf>
    <xf numFmtId="0" fontId="5" fillId="16" borderId="593" xfId="283" applyFont="1" applyFill="1" applyBorder="1" applyProtection="1">
      <protection locked="0"/>
    </xf>
    <xf numFmtId="0" fontId="174" fillId="4" borderId="193" xfId="0" applyFont="1" applyFill="1" applyBorder="1" applyAlignment="1" applyProtection="1">
      <alignment horizontal="left" wrapText="1"/>
      <protection hidden="1"/>
    </xf>
    <xf numFmtId="0" fontId="5" fillId="0" borderId="0" xfId="198" applyFont="1" applyFill="1" applyBorder="1" applyProtection="1">
      <protection hidden="1"/>
    </xf>
    <xf numFmtId="0" fontId="34" fillId="15" borderId="273" xfId="1" applyFont="1" applyFill="1" applyBorder="1" applyAlignment="1" applyProtection="1">
      <alignment horizontal="center"/>
      <protection locked="0"/>
    </xf>
    <xf numFmtId="0" fontId="5" fillId="15" borderId="368" xfId="1" applyFont="1" applyFill="1" applyBorder="1" applyAlignment="1" applyProtection="1">
      <alignment horizontal="center"/>
      <protection locked="0"/>
    </xf>
    <xf numFmtId="0" fontId="5" fillId="15" borderId="230" xfId="1" applyFont="1" applyFill="1" applyBorder="1" applyAlignment="1" applyProtection="1">
      <alignment horizontal="center"/>
      <protection locked="0"/>
    </xf>
    <xf numFmtId="0" fontId="5" fillId="15" borderId="60" xfId="1" applyFont="1" applyFill="1" applyBorder="1" applyAlignment="1" applyProtection="1">
      <alignment horizontal="center"/>
      <protection locked="0"/>
    </xf>
    <xf numFmtId="0" fontId="36" fillId="6" borderId="273" xfId="1" applyFont="1" applyFill="1" applyBorder="1" applyAlignment="1" applyProtection="1">
      <alignment horizontal="center"/>
      <protection locked="0"/>
    </xf>
    <xf numFmtId="0" fontId="5" fillId="6" borderId="368" xfId="1" applyFont="1" applyFill="1" applyBorder="1" applyAlignment="1" applyProtection="1">
      <alignment horizontal="center"/>
      <protection locked="0"/>
    </xf>
    <xf numFmtId="0" fontId="5" fillId="6" borderId="375" xfId="1" applyFont="1" applyFill="1" applyBorder="1" applyAlignment="1" applyProtection="1">
      <alignment horizontal="center"/>
      <protection locked="0"/>
    </xf>
    <xf numFmtId="0" fontId="175" fillId="9" borderId="273" xfId="1" applyFont="1" applyFill="1" applyBorder="1" applyAlignment="1" applyProtection="1">
      <alignment horizontal="center"/>
      <protection locked="0"/>
    </xf>
    <xf numFmtId="0" fontId="5" fillId="9" borderId="368" xfId="1" applyFont="1" applyFill="1" applyBorder="1" applyAlignment="1" applyProtection="1">
      <alignment horizontal="center"/>
      <protection locked="0"/>
    </xf>
    <xf numFmtId="0" fontId="5" fillId="15" borderId="377" xfId="1" applyFont="1" applyFill="1" applyBorder="1" applyAlignment="1" applyProtection="1">
      <alignment horizontal="center"/>
      <protection locked="0"/>
    </xf>
    <xf numFmtId="0" fontId="5" fillId="9" borderId="56" xfId="1" applyFont="1" applyFill="1" applyBorder="1" applyAlignment="1" applyProtection="1">
      <alignment horizontal="center"/>
      <protection locked="0"/>
    </xf>
    <xf numFmtId="0" fontId="5" fillId="6" borderId="230" xfId="1" applyFont="1" applyFill="1" applyBorder="1" applyAlignment="1" applyProtection="1">
      <alignment horizontal="center"/>
      <protection locked="0"/>
    </xf>
    <xf numFmtId="0" fontId="5" fillId="6" borderId="376" xfId="1" applyFont="1" applyFill="1" applyBorder="1" applyAlignment="1" applyProtection="1">
      <alignment horizontal="center"/>
      <protection locked="0"/>
    </xf>
    <xf numFmtId="0" fontId="5" fillId="9" borderId="230" xfId="1" applyFont="1" applyFill="1" applyBorder="1" applyAlignment="1" applyProtection="1">
      <alignment horizontal="center"/>
      <protection locked="0"/>
    </xf>
    <xf numFmtId="0" fontId="5" fillId="6" borderId="230" xfId="2" applyFill="1" applyBorder="1" applyAlignment="1" applyProtection="1">
      <alignment horizontal="center"/>
      <protection locked="0"/>
    </xf>
    <xf numFmtId="0" fontId="5" fillId="6" borderId="376" xfId="2" applyFill="1" applyBorder="1" applyAlignment="1" applyProtection="1">
      <alignment horizontal="center"/>
      <protection locked="0"/>
    </xf>
    <xf numFmtId="0" fontId="177" fillId="9" borderId="132" xfId="0" applyNumberFormat="1" applyFont="1" applyFill="1" applyBorder="1" applyAlignment="1" applyProtection="1">
      <alignment horizontal="center"/>
      <protection locked="0"/>
    </xf>
    <xf numFmtId="1" fontId="34" fillId="0" borderId="469" xfId="1" applyNumberFormat="1" applyFont="1" applyBorder="1" applyAlignment="1" applyProtection="1">
      <alignment horizontal="center" wrapText="1"/>
      <protection hidden="1"/>
    </xf>
    <xf numFmtId="2" fontId="37" fillId="6" borderId="132" xfId="1" applyNumberFormat="1" applyFont="1" applyFill="1" applyBorder="1" applyAlignment="1" applyProtection="1">
      <alignment horizontal="center"/>
      <protection locked="0"/>
    </xf>
    <xf numFmtId="1" fontId="36" fillId="0" borderId="469" xfId="0" applyNumberFormat="1" applyFont="1" applyBorder="1" applyAlignment="1" applyProtection="1">
      <alignment horizontal="center"/>
      <protection hidden="1"/>
    </xf>
    <xf numFmtId="0" fontId="35" fillId="15" borderId="132" xfId="0" applyNumberFormat="1" applyFont="1" applyFill="1" applyBorder="1" applyAlignment="1" applyProtection="1">
      <alignment horizontal="center"/>
      <protection locked="0"/>
    </xf>
    <xf numFmtId="1" fontId="34" fillId="0" borderId="469" xfId="0" applyNumberFormat="1" applyFont="1" applyBorder="1" applyAlignment="1" applyProtection="1">
      <alignment horizontal="center"/>
      <protection hidden="1"/>
    </xf>
    <xf numFmtId="164" fontId="5" fillId="0" borderId="13" xfId="1" applyNumberFormat="1" applyFont="1" applyBorder="1" applyAlignment="1" applyProtection="1">
      <alignment horizontal="center"/>
      <protection hidden="1"/>
    </xf>
    <xf numFmtId="164" fontId="5" fillId="0" borderId="301" xfId="1" applyNumberFormat="1" applyFont="1" applyBorder="1" applyAlignment="1" applyProtection="1">
      <alignment horizontal="center"/>
      <protection hidden="1"/>
    </xf>
    <xf numFmtId="164" fontId="5" fillId="0" borderId="0" xfId="1" applyNumberFormat="1" applyFont="1" applyBorder="1" applyAlignment="1" applyProtection="1">
      <alignment horizontal="center"/>
      <protection hidden="1"/>
    </xf>
    <xf numFmtId="164" fontId="64" fillId="3" borderId="526" xfId="1" applyNumberFormat="1" applyFont="1" applyFill="1" applyBorder="1" applyAlignment="1" applyProtection="1">
      <alignment horizontal="center"/>
      <protection hidden="1"/>
    </xf>
    <xf numFmtId="164" fontId="44" fillId="0" borderId="13" xfId="1" applyNumberFormat="1" applyFont="1" applyBorder="1" applyAlignment="1" applyProtection="1">
      <alignment horizontal="center"/>
      <protection hidden="1"/>
    </xf>
    <xf numFmtId="164" fontId="5" fillId="0" borderId="136" xfId="1" applyNumberFormat="1" applyFont="1" applyBorder="1" applyAlignment="1" applyProtection="1">
      <alignment horizontal="center"/>
      <protection hidden="1"/>
    </xf>
    <xf numFmtId="164" fontId="52" fillId="0" borderId="49" xfId="2" applyNumberFormat="1" applyFont="1" applyBorder="1" applyAlignment="1" applyProtection="1">
      <alignment horizontal="center"/>
      <protection hidden="1"/>
    </xf>
    <xf numFmtId="164" fontId="52" fillId="0" borderId="0" xfId="2" applyNumberFormat="1" applyFont="1" applyBorder="1" applyAlignment="1" applyProtection="1">
      <alignment horizontal="center"/>
      <protection hidden="1"/>
    </xf>
    <xf numFmtId="164" fontId="52" fillId="0" borderId="21" xfId="2" applyNumberFormat="1" applyFont="1" applyBorder="1" applyAlignment="1" applyProtection="1">
      <alignment horizontal="center"/>
      <protection hidden="1"/>
    </xf>
    <xf numFmtId="164" fontId="52" fillId="0" borderId="35" xfId="2" applyNumberFormat="1" applyFont="1" applyBorder="1" applyAlignment="1" applyProtection="1">
      <alignment horizontal="center"/>
      <protection hidden="1"/>
    </xf>
    <xf numFmtId="0" fontId="52" fillId="4" borderId="67" xfId="2" applyFont="1" applyFill="1" applyBorder="1" applyAlignment="1" applyProtection="1">
      <alignment horizontal="center"/>
      <protection hidden="1"/>
    </xf>
    <xf numFmtId="0" fontId="52" fillId="4" borderId="48" xfId="2" applyFont="1" applyFill="1" applyBorder="1" applyAlignment="1" applyProtection="1">
      <alignment horizontal="center"/>
      <protection hidden="1"/>
    </xf>
    <xf numFmtId="164" fontId="52" fillId="0" borderId="25" xfId="2" applyNumberFormat="1" applyFont="1" applyBorder="1" applyAlignment="1" applyProtection="1">
      <alignment horizontal="center"/>
      <protection hidden="1"/>
    </xf>
    <xf numFmtId="164" fontId="52" fillId="0" borderId="0" xfId="2" applyNumberFormat="1" applyFont="1" applyAlignment="1" applyProtection="1">
      <alignment horizontal="center"/>
      <protection hidden="1"/>
    </xf>
    <xf numFmtId="0" fontId="5" fillId="5" borderId="28" xfId="1" applyFont="1" applyFill="1" applyBorder="1" applyAlignment="1" applyProtection="1">
      <alignment horizontal="center"/>
      <protection locked="0"/>
    </xf>
    <xf numFmtId="0" fontId="5" fillId="5" borderId="51" xfId="1" applyFont="1" applyFill="1" applyBorder="1" applyAlignment="1" applyProtection="1">
      <alignment horizontal="center"/>
      <protection locked="0"/>
    </xf>
    <xf numFmtId="0" fontId="5" fillId="5" borderId="62" xfId="1" applyFont="1" applyFill="1" applyBorder="1" applyAlignment="1" applyProtection="1">
      <alignment horizontal="center"/>
      <protection locked="0"/>
    </xf>
    <xf numFmtId="0" fontId="5" fillId="4" borderId="66" xfId="1" applyFont="1" applyFill="1" applyBorder="1" applyAlignment="1" applyProtection="1">
      <alignment horizontal="center"/>
      <protection hidden="1"/>
    </xf>
    <xf numFmtId="0" fontId="26" fillId="4" borderId="47" xfId="1" applyFont="1" applyFill="1" applyBorder="1" applyAlignment="1" applyProtection="1">
      <alignment horizontal="center"/>
      <protection hidden="1"/>
    </xf>
    <xf numFmtId="0" fontId="5" fillId="5" borderId="70" xfId="1" applyFont="1" applyFill="1" applyBorder="1" applyAlignment="1" applyProtection="1">
      <alignment horizontal="center"/>
      <protection locked="0"/>
    </xf>
    <xf numFmtId="0" fontId="9" fillId="7" borderId="28" xfId="1" applyFont="1" applyFill="1" applyBorder="1" applyAlignment="1" applyProtection="1">
      <alignment horizontal="center"/>
      <protection locked="0"/>
    </xf>
    <xf numFmtId="0" fontId="9" fillId="7" borderId="51" xfId="1" applyFont="1" applyFill="1" applyBorder="1" applyAlignment="1" applyProtection="1">
      <alignment horizontal="center"/>
      <protection locked="0"/>
    </xf>
    <xf numFmtId="0" fontId="9" fillId="7" borderId="71" xfId="1" applyFont="1" applyFill="1" applyBorder="1" applyAlignment="1" applyProtection="1">
      <alignment horizontal="center"/>
      <protection locked="0"/>
    </xf>
    <xf numFmtId="0" fontId="5" fillId="5" borderId="71" xfId="1" applyFont="1" applyFill="1" applyBorder="1" applyAlignment="1" applyProtection="1">
      <alignment horizontal="center"/>
      <protection locked="0"/>
    </xf>
    <xf numFmtId="0" fontId="5" fillId="5" borderId="75" xfId="1" applyFont="1" applyFill="1" applyBorder="1" applyAlignment="1" applyProtection="1">
      <alignment horizontal="center"/>
      <protection locked="0"/>
    </xf>
    <xf numFmtId="0" fontId="5" fillId="4" borderId="13" xfId="1" applyFont="1" applyFill="1" applyBorder="1" applyAlignment="1" applyProtection="1">
      <alignment horizontal="center"/>
      <protection hidden="1"/>
    </xf>
    <xf numFmtId="0" fontId="5" fillId="5" borderId="82" xfId="1" applyFont="1" applyFill="1" applyBorder="1" applyAlignment="1" applyProtection="1">
      <alignment horizontal="center"/>
      <protection locked="0"/>
    </xf>
    <xf numFmtId="1" fontId="52" fillId="0" borderId="588" xfId="2" applyNumberFormat="1" applyFont="1" applyBorder="1" applyAlignment="1" applyProtection="1">
      <alignment horizontal="center"/>
      <protection hidden="1"/>
    </xf>
    <xf numFmtId="2" fontId="5" fillId="0" borderId="79" xfId="2" applyNumberFormat="1" applyBorder="1" applyAlignment="1" applyProtection="1">
      <alignment horizontal="center"/>
      <protection hidden="1"/>
    </xf>
    <xf numFmtId="2" fontId="5" fillId="0" borderId="0" xfId="1" applyNumberFormat="1" applyFont="1" applyBorder="1" applyAlignment="1" applyProtection="1">
      <alignment horizontal="center"/>
      <protection hidden="1"/>
    </xf>
    <xf numFmtId="0" fontId="5" fillId="6" borderId="587" xfId="1" applyFont="1" applyFill="1" applyBorder="1" applyAlignment="1" applyProtection="1">
      <alignment horizontal="center"/>
      <protection locked="0"/>
    </xf>
    <xf numFmtId="0" fontId="44" fillId="5" borderId="515" xfId="2" applyFont="1" applyFill="1" applyBorder="1" applyAlignment="1" applyProtection="1">
      <alignment horizontal="center"/>
      <protection locked="0"/>
    </xf>
    <xf numFmtId="0" fontId="44" fillId="47" borderId="530" xfId="198" applyFont="1" applyFill="1" applyBorder="1" applyAlignment="1" applyProtection="1">
      <alignment horizontal="center"/>
      <protection hidden="1"/>
    </xf>
    <xf numFmtId="1" fontId="67" fillId="0" borderId="21" xfId="1" applyNumberFormat="1" applyFont="1" applyBorder="1" applyAlignment="1" applyProtection="1">
      <alignment horizontal="center"/>
      <protection hidden="1"/>
    </xf>
    <xf numFmtId="0" fontId="55" fillId="4" borderId="66" xfId="1" applyFont="1" applyFill="1" applyBorder="1" applyAlignment="1" applyProtection="1">
      <alignment horizontal="center" wrapText="1"/>
      <protection hidden="1"/>
    </xf>
    <xf numFmtId="0" fontId="55" fillId="4" borderId="47" xfId="1" applyFont="1" applyFill="1" applyBorder="1" applyAlignment="1" applyProtection="1">
      <alignment horizontal="center" wrapText="1"/>
      <protection hidden="1"/>
    </xf>
    <xf numFmtId="164" fontId="55" fillId="0" borderId="13" xfId="1" applyNumberFormat="1" applyFont="1" applyBorder="1" applyAlignment="1" applyProtection="1">
      <alignment horizontal="center"/>
      <protection hidden="1"/>
    </xf>
    <xf numFmtId="164" fontId="55" fillId="0" borderId="13" xfId="1" applyNumberFormat="1" applyFont="1" applyFill="1" applyBorder="1" applyAlignment="1" applyProtection="1">
      <alignment horizontal="center"/>
      <protection hidden="1"/>
    </xf>
    <xf numFmtId="0" fontId="51" fillId="4" borderId="66" xfId="1" applyFont="1" applyFill="1" applyBorder="1" applyAlignment="1" applyProtection="1">
      <alignment horizontal="center" wrapText="1"/>
      <protection hidden="1"/>
    </xf>
    <xf numFmtId="0" fontId="51" fillId="4" borderId="47" xfId="1" applyFont="1" applyFill="1" applyBorder="1" applyAlignment="1" applyProtection="1">
      <alignment horizontal="center" wrapText="1"/>
      <protection hidden="1"/>
    </xf>
    <xf numFmtId="164" fontId="51" fillId="0" borderId="13" xfId="1" applyNumberFormat="1" applyFont="1" applyBorder="1" applyAlignment="1" applyProtection="1">
      <alignment horizontal="center"/>
      <protection hidden="1"/>
    </xf>
    <xf numFmtId="0" fontId="41" fillId="3" borderId="0" xfId="2" applyFont="1" applyFill="1" applyBorder="1" applyAlignment="1" applyProtection="1">
      <alignment horizontal="center" vertical="center" wrapText="1"/>
      <protection hidden="1"/>
    </xf>
    <xf numFmtId="0" fontId="26" fillId="14" borderId="0" xfId="6" applyFont="1" applyFill="1" applyBorder="1" applyAlignment="1" applyProtection="1">
      <alignment horizontal="right"/>
      <protection hidden="1"/>
    </xf>
    <xf numFmtId="0" fontId="5" fillId="14" borderId="0" xfId="6" applyFont="1" applyFill="1" applyBorder="1" applyAlignment="1" applyProtection="1">
      <alignment horizontal="right"/>
      <protection hidden="1"/>
    </xf>
    <xf numFmtId="0" fontId="5" fillId="14" borderId="0" xfId="6" applyFont="1" applyFill="1" applyBorder="1" applyAlignment="1" applyProtection="1">
      <alignment horizontal="center"/>
      <protection hidden="1"/>
    </xf>
    <xf numFmtId="164" fontId="5" fillId="3" borderId="0" xfId="6" applyNumberFormat="1" applyFont="1" applyFill="1" applyBorder="1" applyAlignment="1" applyProtection="1">
      <protection hidden="1"/>
    </xf>
    <xf numFmtId="0" fontId="5" fillId="0" borderId="301" xfId="411" applyFont="1" applyFill="1" applyBorder="1" applyProtection="1">
      <protection hidden="1"/>
    </xf>
    <xf numFmtId="0" fontId="5" fillId="0" borderId="592" xfId="411" applyFont="1" applyFill="1" applyBorder="1" applyProtection="1">
      <protection hidden="1"/>
    </xf>
    <xf numFmtId="0" fontId="1" fillId="0" borderId="515" xfId="2" applyFont="1" applyFill="1" applyBorder="1"/>
    <xf numFmtId="0" fontId="5" fillId="13" borderId="568" xfId="2" applyNumberFormat="1" applyFont="1" applyFill="1" applyBorder="1" applyAlignment="1" applyProtection="1">
      <alignment horizontal="center"/>
      <protection locked="0"/>
    </xf>
    <xf numFmtId="0" fontId="5" fillId="13" borderId="307" xfId="2" applyNumberFormat="1" applyFont="1" applyFill="1" applyBorder="1" applyAlignment="1" applyProtection="1">
      <alignment horizontal="center"/>
      <protection locked="0"/>
    </xf>
    <xf numFmtId="2" fontId="5" fillId="10" borderId="570" xfId="2" applyNumberFormat="1" applyFont="1" applyFill="1" applyBorder="1" applyAlignment="1" applyProtection="1">
      <alignment horizontal="center" wrapText="1"/>
      <protection hidden="1"/>
    </xf>
    <xf numFmtId="0" fontId="9" fillId="4" borderId="0" xfId="6" applyFont="1" applyFill="1" applyAlignment="1" applyProtection="1">
      <alignment horizontal="left"/>
      <protection hidden="1"/>
    </xf>
    <xf numFmtId="0" fontId="5" fillId="4" borderId="574" xfId="413" applyFont="1" applyFill="1" applyBorder="1" applyAlignment="1" applyProtection="1">
      <protection hidden="1"/>
    </xf>
    <xf numFmtId="0" fontId="94" fillId="0" borderId="0" xfId="2" applyFont="1" applyAlignment="1" applyProtection="1">
      <alignment vertical="center" wrapText="1"/>
      <protection hidden="1"/>
    </xf>
    <xf numFmtId="0" fontId="15" fillId="0" borderId="516" xfId="3" applyFont="1" applyBorder="1" applyAlignment="1" applyProtection="1">
      <protection hidden="1"/>
    </xf>
    <xf numFmtId="0" fontId="44" fillId="47" borderId="574" xfId="198" applyFont="1" applyFill="1" applyBorder="1" applyAlignment="1" applyProtection="1">
      <protection hidden="1"/>
    </xf>
    <xf numFmtId="0" fontId="44" fillId="47" borderId="574" xfId="198" applyFont="1" applyFill="1" applyBorder="1" applyAlignment="1" applyProtection="1">
      <alignment horizontal="left"/>
      <protection hidden="1"/>
    </xf>
    <xf numFmtId="0" fontId="44" fillId="47" borderId="251" xfId="198" applyFont="1" applyFill="1" applyBorder="1" applyAlignment="1" applyProtection="1">
      <alignment horizontal="left"/>
      <protection hidden="1"/>
    </xf>
    <xf numFmtId="0" fontId="5" fillId="0" borderId="600" xfId="3" applyFont="1" applyBorder="1" applyAlignment="1" applyProtection="1">
      <protection hidden="1"/>
    </xf>
    <xf numFmtId="0" fontId="5" fillId="5" borderId="469" xfId="2" applyFill="1" applyBorder="1" applyAlignment="1" applyProtection="1">
      <alignment horizontal="right"/>
      <protection locked="0"/>
    </xf>
    <xf numFmtId="0" fontId="5" fillId="9" borderId="601" xfId="2" applyFill="1" applyBorder="1" applyAlignment="1" applyProtection="1">
      <alignment horizontal="right"/>
      <protection locked="0"/>
    </xf>
    <xf numFmtId="0" fontId="149" fillId="10" borderId="301" xfId="6" applyFont="1" applyFill="1" applyBorder="1" applyAlignment="1" applyProtection="1">
      <alignment vertical="top" wrapText="1"/>
      <protection hidden="1"/>
    </xf>
    <xf numFmtId="0" fontId="5" fillId="5" borderId="124" xfId="288" applyFont="1" applyFill="1" applyBorder="1" applyAlignment="1" applyProtection="1">
      <alignment horizontal="center"/>
      <protection locked="0"/>
    </xf>
    <xf numFmtId="164" fontId="32" fillId="4" borderId="181" xfId="6" applyNumberFormat="1" applyFont="1" applyFill="1" applyBorder="1" applyAlignment="1" applyProtection="1">
      <alignment horizontal="center"/>
      <protection hidden="1"/>
    </xf>
    <xf numFmtId="164" fontId="32" fillId="4" borderId="182" xfId="6" applyNumberFormat="1" applyFont="1" applyFill="1" applyBorder="1" applyAlignment="1" applyProtection="1">
      <alignment horizontal="center"/>
      <protection hidden="1"/>
    </xf>
    <xf numFmtId="164" fontId="32" fillId="4" borderId="183" xfId="6" applyNumberFormat="1" applyFont="1" applyFill="1" applyBorder="1" applyAlignment="1" applyProtection="1">
      <alignment horizontal="center"/>
      <protection hidden="1"/>
    </xf>
    <xf numFmtId="164" fontId="32" fillId="4" borderId="148" xfId="6" applyNumberFormat="1" applyFont="1" applyFill="1" applyBorder="1" applyAlignment="1" applyProtection="1">
      <alignment horizontal="center"/>
      <protection hidden="1"/>
    </xf>
    <xf numFmtId="164" fontId="32" fillId="4" borderId="154" xfId="6" applyNumberFormat="1" applyFont="1" applyFill="1" applyBorder="1" applyAlignment="1" applyProtection="1">
      <alignment horizontal="center"/>
      <protection hidden="1"/>
    </xf>
    <xf numFmtId="164" fontId="32" fillId="4" borderId="21" xfId="6" applyNumberFormat="1" applyFont="1" applyFill="1" applyBorder="1" applyAlignment="1" applyProtection="1">
      <alignment horizontal="center"/>
      <protection hidden="1"/>
    </xf>
    <xf numFmtId="164" fontId="32" fillId="0" borderId="24" xfId="6" applyNumberFormat="1" applyFont="1" applyBorder="1" applyAlignment="1" applyProtection="1">
      <alignment horizontal="center"/>
      <protection hidden="1"/>
    </xf>
    <xf numFmtId="164" fontId="32" fillId="0" borderId="128" xfId="6" applyNumberFormat="1" applyFont="1" applyBorder="1" applyAlignment="1" applyProtection="1">
      <alignment horizontal="center"/>
      <protection hidden="1"/>
    </xf>
    <xf numFmtId="164" fontId="32" fillId="0" borderId="30" xfId="6" applyNumberFormat="1" applyFont="1" applyBorder="1" applyAlignment="1" applyProtection="1">
      <alignment horizontal="center"/>
      <protection hidden="1"/>
    </xf>
    <xf numFmtId="164" fontId="25" fillId="4" borderId="148" xfId="6" applyNumberFormat="1" applyFont="1" applyFill="1" applyBorder="1" applyAlignment="1" applyProtection="1">
      <alignment horizontal="center"/>
      <protection hidden="1"/>
    </xf>
    <xf numFmtId="164" fontId="25" fillId="4" borderId="154" xfId="6" applyNumberFormat="1" applyFont="1" applyFill="1" applyBorder="1" applyAlignment="1" applyProtection="1">
      <alignment horizontal="center"/>
      <protection hidden="1"/>
    </xf>
    <xf numFmtId="164" fontId="25" fillId="4" borderId="21" xfId="6" applyNumberFormat="1" applyFont="1" applyFill="1" applyBorder="1" applyAlignment="1" applyProtection="1">
      <alignment horizontal="center"/>
      <protection hidden="1"/>
    </xf>
    <xf numFmtId="1" fontId="52" fillId="46" borderId="16" xfId="6" applyNumberFormat="1" applyFont="1" applyFill="1" applyBorder="1" applyAlignment="1" applyProtection="1">
      <alignment horizontal="center"/>
      <protection hidden="1"/>
    </xf>
    <xf numFmtId="1" fontId="52" fillId="14" borderId="81" xfId="6" applyNumberFormat="1" applyFont="1" applyFill="1" applyBorder="1" applyAlignment="1" applyProtection="1">
      <alignment horizontal="center"/>
      <protection hidden="1"/>
    </xf>
    <xf numFmtId="1" fontId="52" fillId="14" borderId="20" xfId="6" applyNumberFormat="1" applyFont="1" applyFill="1" applyBorder="1" applyAlignment="1" applyProtection="1">
      <alignment horizontal="center"/>
      <protection hidden="1"/>
    </xf>
    <xf numFmtId="164" fontId="52" fillId="46" borderId="81" xfId="6" applyNumberFormat="1" applyFont="1" applyFill="1" applyBorder="1" applyAlignment="1" applyProtection="1">
      <alignment horizontal="center"/>
      <protection hidden="1"/>
    </xf>
    <xf numFmtId="164" fontId="52" fillId="46" borderId="16" xfId="6" applyNumberFormat="1" applyFont="1" applyFill="1" applyBorder="1" applyAlignment="1" applyProtection="1">
      <alignment horizontal="center"/>
      <protection hidden="1"/>
    </xf>
    <xf numFmtId="0" fontId="26" fillId="0" borderId="115" xfId="6" applyFont="1" applyBorder="1" applyAlignment="1" applyProtection="1">
      <alignment horizontal="center"/>
      <protection hidden="1"/>
    </xf>
    <xf numFmtId="0" fontId="26" fillId="0" borderId="124" xfId="6" applyFont="1" applyBorder="1" applyAlignment="1" applyProtection="1">
      <alignment horizontal="center"/>
      <protection hidden="1"/>
    </xf>
    <xf numFmtId="0" fontId="26" fillId="0" borderId="180" xfId="6" applyFont="1" applyBorder="1" applyAlignment="1" applyProtection="1">
      <alignment horizontal="center"/>
      <protection hidden="1"/>
    </xf>
    <xf numFmtId="0" fontId="5" fillId="5" borderId="57" xfId="6" applyFont="1" applyFill="1" applyBorder="1" applyAlignment="1" applyProtection="1">
      <alignment horizontal="center"/>
      <protection locked="0"/>
    </xf>
    <xf numFmtId="0" fontId="5" fillId="5" borderId="122" xfId="6" applyFont="1" applyFill="1" applyBorder="1" applyAlignment="1" applyProtection="1">
      <alignment horizontal="center"/>
      <protection locked="0"/>
    </xf>
    <xf numFmtId="0" fontId="5" fillId="5" borderId="61" xfId="6" applyFont="1" applyFill="1" applyBorder="1" applyAlignment="1" applyProtection="1">
      <alignment horizontal="center"/>
      <protection locked="0"/>
    </xf>
    <xf numFmtId="0" fontId="5" fillId="9" borderId="78" xfId="6" applyFont="1" applyFill="1" applyBorder="1" applyAlignment="1" applyProtection="1">
      <alignment horizontal="center"/>
      <protection locked="0"/>
    </xf>
    <xf numFmtId="0" fontId="5" fillId="5" borderId="58" xfId="6" applyFont="1" applyFill="1" applyBorder="1" applyAlignment="1" applyProtection="1">
      <alignment horizontal="center"/>
      <protection locked="0"/>
    </xf>
    <xf numFmtId="0" fontId="5" fillId="5" borderId="226" xfId="6" applyFont="1" applyFill="1" applyBorder="1" applyAlignment="1" applyProtection="1">
      <alignment horizontal="center"/>
      <protection locked="0"/>
    </xf>
    <xf numFmtId="0" fontId="44" fillId="5" borderId="61" xfId="6" applyFont="1" applyFill="1" applyBorder="1" applyAlignment="1" applyProtection="1">
      <alignment horizontal="center"/>
      <protection locked="0"/>
    </xf>
    <xf numFmtId="0" fontId="44" fillId="5" borderId="34" xfId="6" applyFont="1" applyFill="1" applyBorder="1" applyAlignment="1" applyProtection="1">
      <alignment horizontal="center"/>
      <protection locked="0"/>
    </xf>
    <xf numFmtId="0" fontId="5" fillId="9" borderId="128" xfId="6" applyFont="1" applyFill="1" applyBorder="1" applyAlignment="1" applyProtection="1">
      <alignment horizontal="center"/>
      <protection locked="0"/>
    </xf>
    <xf numFmtId="0" fontId="5" fillId="5" borderId="30" xfId="6" applyFont="1" applyFill="1" applyBorder="1" applyAlignment="1" applyProtection="1">
      <alignment horizontal="center"/>
      <protection locked="0"/>
    </xf>
    <xf numFmtId="2" fontId="5" fillId="0" borderId="61" xfId="288" applyNumberFormat="1" applyFont="1" applyBorder="1" applyAlignment="1" applyProtection="1">
      <alignment horizontal="center"/>
      <protection hidden="1"/>
    </xf>
    <xf numFmtId="2" fontId="5" fillId="0" borderId="78" xfId="288" applyNumberFormat="1" applyFont="1" applyBorder="1" applyAlignment="1" applyProtection="1">
      <alignment horizontal="center"/>
      <protection hidden="1"/>
    </xf>
    <xf numFmtId="2" fontId="5" fillId="0" borderId="58" xfId="288" applyNumberFormat="1" applyFont="1" applyBorder="1" applyAlignment="1" applyProtection="1">
      <alignment horizontal="center"/>
      <protection hidden="1"/>
    </xf>
    <xf numFmtId="0" fontId="5" fillId="6" borderId="194" xfId="1" applyFont="1" applyFill="1" applyBorder="1" applyAlignment="1" applyProtection="1">
      <alignment horizontal="center"/>
      <protection locked="0"/>
    </xf>
    <xf numFmtId="1" fontId="5" fillId="4" borderId="154" xfId="6" applyNumberFormat="1" applyFont="1" applyFill="1" applyBorder="1" applyAlignment="1" applyProtection="1">
      <alignment horizontal="center"/>
      <protection hidden="1"/>
    </xf>
    <xf numFmtId="1" fontId="26" fillId="4" borderId="34" xfId="6" applyNumberFormat="1" applyFont="1" applyFill="1" applyBorder="1" applyAlignment="1" applyProtection="1">
      <alignment horizontal="center"/>
      <protection hidden="1"/>
    </xf>
    <xf numFmtId="1" fontId="26" fillId="4" borderId="33" xfId="6" applyNumberFormat="1" applyFont="1" applyFill="1" applyBorder="1" applyAlignment="1" applyProtection="1">
      <alignment horizontal="center"/>
      <protection hidden="1"/>
    </xf>
    <xf numFmtId="1" fontId="26" fillId="4" borderId="38" xfId="6" applyNumberFormat="1" applyFont="1" applyFill="1" applyBorder="1" applyAlignment="1" applyProtection="1">
      <alignment horizontal="center"/>
      <protection hidden="1"/>
    </xf>
    <xf numFmtId="164" fontId="5" fillId="4" borderId="154" xfId="6" applyNumberFormat="1" applyFont="1" applyFill="1" applyBorder="1" applyAlignment="1" applyProtection="1">
      <alignment horizontal="center"/>
      <protection hidden="1"/>
    </xf>
    <xf numFmtId="164" fontId="5" fillId="4" borderId="154" xfId="2" applyNumberFormat="1" applyFill="1" applyBorder="1" applyAlignment="1" applyProtection="1">
      <alignment horizontal="center"/>
      <protection hidden="1"/>
    </xf>
    <xf numFmtId="164" fontId="5" fillId="4" borderId="81" xfId="6" applyNumberFormat="1" applyFont="1" applyFill="1" applyBorder="1" applyAlignment="1" applyProtection="1">
      <alignment horizontal="center"/>
      <protection hidden="1"/>
    </xf>
    <xf numFmtId="0" fontId="5" fillId="9" borderId="188" xfId="6" applyFont="1" applyFill="1" applyBorder="1" applyAlignment="1" applyProtection="1">
      <alignment horizontal="center"/>
      <protection locked="0"/>
    </xf>
    <xf numFmtId="0" fontId="5" fillId="9" borderId="190" xfId="6" applyFont="1" applyFill="1" applyBorder="1" applyAlignment="1" applyProtection="1">
      <alignment horizontal="center"/>
      <protection locked="0"/>
    </xf>
    <xf numFmtId="164" fontId="27" fillId="4" borderId="182" xfId="6" applyNumberFormat="1" applyFont="1" applyFill="1" applyBorder="1" applyAlignment="1" applyProtection="1">
      <alignment horizontal="center"/>
      <protection hidden="1"/>
    </xf>
    <xf numFmtId="164" fontId="27" fillId="4" borderId="154" xfId="6" applyNumberFormat="1" applyFont="1" applyFill="1" applyBorder="1" applyAlignment="1" applyProtection="1">
      <alignment horizontal="center"/>
      <protection hidden="1"/>
    </xf>
    <xf numFmtId="164" fontId="27" fillId="4" borderId="128" xfId="6" applyNumberFormat="1" applyFont="1" applyFill="1" applyBorder="1" applyAlignment="1" applyProtection="1">
      <alignment horizontal="center"/>
      <protection hidden="1"/>
    </xf>
    <xf numFmtId="0" fontId="154" fillId="5" borderId="181" xfId="6" applyFont="1" applyFill="1" applyBorder="1" applyAlignment="1" applyProtection="1">
      <alignment horizontal="center"/>
      <protection locked="0"/>
    </xf>
    <xf numFmtId="0" fontId="154" fillId="5" borderId="200" xfId="6" applyFont="1" applyFill="1" applyBorder="1" applyAlignment="1" applyProtection="1">
      <alignment horizontal="center"/>
      <protection locked="0"/>
    </xf>
    <xf numFmtId="0" fontId="155" fillId="5" borderId="205" xfId="0" applyFont="1" applyFill="1" applyBorder="1" applyAlignment="1" applyProtection="1">
      <alignment horizontal="center"/>
      <protection locked="0"/>
    </xf>
    <xf numFmtId="0" fontId="155" fillId="5" borderId="209" xfId="0" applyFont="1" applyFill="1" applyBorder="1" applyAlignment="1" applyProtection="1">
      <alignment horizontal="center"/>
      <protection locked="0"/>
    </xf>
    <xf numFmtId="0" fontId="155" fillId="5" borderId="209" xfId="6" applyFont="1" applyFill="1" applyBorder="1" applyAlignment="1" applyProtection="1">
      <alignment horizontal="center"/>
      <protection locked="0"/>
    </xf>
    <xf numFmtId="2" fontId="5" fillId="0" borderId="216" xfId="288" applyNumberFormat="1" applyFont="1" applyBorder="1" applyAlignment="1" applyProtection="1">
      <alignment horizontal="center"/>
      <protection hidden="1"/>
    </xf>
    <xf numFmtId="0" fontId="32" fillId="5" borderId="201" xfId="6" applyFont="1" applyFill="1" applyBorder="1" applyAlignment="1" applyProtection="1">
      <alignment horizontal="center"/>
      <protection locked="0"/>
    </xf>
    <xf numFmtId="0" fontId="27" fillId="0" borderId="204" xfId="6" applyFont="1" applyBorder="1" applyAlignment="1" applyProtection="1">
      <alignment horizontal="center"/>
      <protection hidden="1"/>
    </xf>
    <xf numFmtId="1" fontId="51" fillId="0" borderId="208" xfId="6" applyNumberFormat="1" applyFont="1" applyBorder="1" applyAlignment="1" applyProtection="1">
      <alignment horizontal="center"/>
      <protection hidden="1"/>
    </xf>
    <xf numFmtId="1" fontId="51" fillId="0" borderId="212" xfId="6" applyNumberFormat="1" applyFont="1" applyBorder="1" applyAlignment="1" applyProtection="1">
      <alignment horizontal="center"/>
      <protection hidden="1"/>
    </xf>
    <xf numFmtId="2" fontId="5" fillId="4" borderId="0" xfId="6" applyNumberFormat="1" applyFont="1" applyFill="1" applyAlignment="1" applyProtection="1">
      <alignment horizontal="center"/>
      <protection hidden="1"/>
    </xf>
    <xf numFmtId="0" fontId="26" fillId="14" borderId="197" xfId="6" applyFont="1" applyFill="1" applyBorder="1" applyAlignment="1" applyProtection="1">
      <alignment horizontal="center"/>
      <protection hidden="1"/>
    </xf>
    <xf numFmtId="0" fontId="154" fillId="14" borderId="181" xfId="6" applyFont="1" applyFill="1" applyBorder="1" applyAlignment="1" applyProtection="1">
      <alignment horizontal="center"/>
      <protection hidden="1"/>
    </xf>
    <xf numFmtId="0" fontId="32" fillId="14" borderId="182" xfId="6" applyFont="1" applyFill="1" applyBorder="1" applyAlignment="1" applyProtection="1">
      <alignment horizontal="center"/>
      <protection hidden="1"/>
    </xf>
    <xf numFmtId="0" fontId="26" fillId="0" borderId="86" xfId="6" applyFont="1" applyBorder="1" applyAlignment="1" applyProtection="1">
      <alignment horizontal="center"/>
      <protection hidden="1"/>
    </xf>
    <xf numFmtId="0" fontId="155" fillId="14" borderId="16" xfId="6" applyFont="1" applyFill="1" applyBorder="1" applyAlignment="1" applyProtection="1">
      <alignment horizontal="center"/>
      <protection hidden="1"/>
    </xf>
    <xf numFmtId="0" fontId="9" fillId="14" borderId="81" xfId="6" applyFont="1" applyFill="1" applyBorder="1" applyAlignment="1" applyProtection="1">
      <alignment horizontal="center"/>
      <protection hidden="1"/>
    </xf>
    <xf numFmtId="0" fontId="155" fillId="5" borderId="205" xfId="6" applyFont="1" applyFill="1" applyBorder="1" applyAlignment="1" applyProtection="1">
      <alignment horizontal="center"/>
      <protection locked="0"/>
    </xf>
    <xf numFmtId="164" fontId="51" fillId="0" borderId="206" xfId="6" applyNumberFormat="1" applyFont="1" applyBorder="1" applyAlignment="1" applyProtection="1">
      <alignment horizontal="center"/>
      <protection hidden="1"/>
    </xf>
    <xf numFmtId="164" fontId="51" fillId="0" borderId="210" xfId="6" applyNumberFormat="1" applyFont="1" applyBorder="1" applyAlignment="1" applyProtection="1">
      <alignment horizontal="center"/>
      <protection hidden="1"/>
    </xf>
    <xf numFmtId="0" fontId="158" fillId="5" borderId="218" xfId="0" applyFont="1" applyFill="1" applyBorder="1" applyAlignment="1" applyProtection="1">
      <alignment horizontal="center"/>
      <protection locked="0"/>
    </xf>
    <xf numFmtId="0" fontId="159" fillId="5" borderId="219" xfId="0" applyFont="1" applyFill="1" applyBorder="1" applyAlignment="1" applyProtection="1">
      <alignment horizontal="center"/>
      <protection locked="0"/>
    </xf>
    <xf numFmtId="164" fontId="160" fillId="0" borderId="220" xfId="6" applyNumberFormat="1" applyFont="1" applyBorder="1" applyAlignment="1" applyProtection="1">
      <alignment horizontal="center"/>
      <protection hidden="1"/>
    </xf>
    <xf numFmtId="0" fontId="155" fillId="5" borderId="115" xfId="6" applyFont="1" applyFill="1" applyBorder="1" applyAlignment="1" applyProtection="1">
      <alignment horizontal="center"/>
      <protection locked="0"/>
    </xf>
    <xf numFmtId="2" fontId="9" fillId="0" borderId="124" xfId="6" applyNumberFormat="1" applyFont="1" applyBorder="1" applyAlignment="1" applyProtection="1">
      <alignment horizontal="center"/>
      <protection hidden="1"/>
    </xf>
    <xf numFmtId="164" fontId="27" fillId="4" borderId="73" xfId="6" applyNumberFormat="1" applyFont="1" applyFill="1" applyBorder="1" applyAlignment="1" applyProtection="1">
      <alignment horizontal="center"/>
      <protection hidden="1"/>
    </xf>
    <xf numFmtId="0" fontId="27" fillId="5" borderId="56" xfId="6" applyFont="1" applyFill="1" applyBorder="1" applyAlignment="1" applyProtection="1">
      <alignment horizontal="center"/>
      <protection locked="0"/>
    </xf>
    <xf numFmtId="1" fontId="44" fillId="4" borderId="154" xfId="6" applyNumberFormat="1" applyFont="1" applyFill="1" applyBorder="1" applyAlignment="1" applyProtection="1">
      <alignment horizontal="center"/>
      <protection hidden="1"/>
    </xf>
    <xf numFmtId="1" fontId="59" fillId="4" borderId="33" xfId="6" applyNumberFormat="1" applyFont="1" applyFill="1" applyBorder="1" applyAlignment="1" applyProtection="1">
      <alignment horizontal="center"/>
      <protection hidden="1"/>
    </xf>
    <xf numFmtId="164" fontId="44" fillId="4" borderId="154" xfId="6" applyNumberFormat="1" applyFont="1" applyFill="1" applyBorder="1" applyAlignment="1" applyProtection="1">
      <alignment horizontal="center"/>
      <protection hidden="1"/>
    </xf>
    <xf numFmtId="164" fontId="5" fillId="4" borderId="225" xfId="6" applyNumberFormat="1" applyFont="1" applyFill="1" applyBorder="1" applyAlignment="1" applyProtection="1">
      <alignment horizontal="center"/>
      <protection hidden="1"/>
    </xf>
    <xf numFmtId="0" fontId="154" fillId="14" borderId="182" xfId="6" applyFont="1" applyFill="1" applyBorder="1" applyAlignment="1" applyProtection="1">
      <alignment horizontal="center"/>
      <protection hidden="1"/>
    </xf>
    <xf numFmtId="0" fontId="155" fillId="14" borderId="225" xfId="6" applyFont="1" applyFill="1" applyBorder="1" applyAlignment="1" applyProtection="1">
      <alignment horizontal="center"/>
      <protection hidden="1"/>
    </xf>
    <xf numFmtId="0" fontId="155" fillId="5" borderId="206" xfId="6" applyFont="1" applyFill="1" applyBorder="1" applyAlignment="1" applyProtection="1">
      <alignment horizontal="center"/>
      <protection locked="0"/>
    </xf>
    <xf numFmtId="0" fontId="155" fillId="5" borderId="210" xfId="6" applyFont="1" applyFill="1" applyBorder="1" applyAlignment="1" applyProtection="1">
      <alignment horizontal="center"/>
      <protection locked="0"/>
    </xf>
    <xf numFmtId="0" fontId="159" fillId="5" borderId="220" xfId="0" applyFont="1" applyFill="1" applyBorder="1" applyAlignment="1" applyProtection="1">
      <alignment horizontal="center"/>
      <protection locked="0"/>
    </xf>
    <xf numFmtId="0" fontId="155" fillId="5" borderId="124" xfId="6" applyFont="1" applyFill="1" applyBorder="1" applyAlignment="1" applyProtection="1">
      <alignment horizontal="center"/>
      <protection locked="0"/>
    </xf>
    <xf numFmtId="0" fontId="32" fillId="14" borderId="183" xfId="6" applyFont="1" applyFill="1" applyBorder="1" applyAlignment="1" applyProtection="1">
      <alignment horizontal="center"/>
      <protection hidden="1"/>
    </xf>
    <xf numFmtId="0" fontId="9" fillId="14" borderId="20" xfId="6" applyFont="1" applyFill="1" applyBorder="1" applyAlignment="1" applyProtection="1">
      <alignment horizontal="center"/>
      <protection hidden="1"/>
    </xf>
    <xf numFmtId="164" fontId="51" fillId="0" borderId="183" xfId="6" applyNumberFormat="1" applyFont="1" applyBorder="1" applyAlignment="1" applyProtection="1">
      <alignment horizontal="center"/>
      <protection hidden="1"/>
    </xf>
    <xf numFmtId="164" fontId="51" fillId="0" borderId="21" xfId="6" applyNumberFormat="1" applyFont="1" applyBorder="1" applyAlignment="1" applyProtection="1">
      <alignment horizontal="center"/>
      <protection hidden="1"/>
    </xf>
    <xf numFmtId="49" fontId="158" fillId="5" borderId="240" xfId="0" applyNumberFormat="1" applyFont="1" applyFill="1" applyBorder="1" applyAlignment="1" applyProtection="1">
      <alignment horizontal="center"/>
      <protection locked="0"/>
    </xf>
    <xf numFmtId="164" fontId="160" fillId="0" borderId="241" xfId="6" applyNumberFormat="1" applyFont="1" applyBorder="1" applyAlignment="1" applyProtection="1">
      <alignment horizontal="center"/>
      <protection hidden="1"/>
    </xf>
    <xf numFmtId="2" fontId="9" fillId="0" borderId="158" xfId="6" applyNumberFormat="1" applyFont="1" applyBorder="1" applyAlignment="1" applyProtection="1">
      <alignment horizontal="center"/>
      <protection hidden="1"/>
    </xf>
    <xf numFmtId="0" fontId="154" fillId="0" borderId="228" xfId="6" applyFont="1" applyBorder="1" applyAlignment="1" applyProtection="1">
      <alignment horizontal="center"/>
      <protection hidden="1"/>
    </xf>
    <xf numFmtId="1" fontId="27" fillId="0" borderId="55" xfId="6" applyNumberFormat="1" applyFont="1" applyBorder="1" applyAlignment="1" applyProtection="1">
      <alignment horizontal="center"/>
      <protection hidden="1"/>
    </xf>
    <xf numFmtId="1" fontId="155" fillId="5" borderId="231" xfId="0" applyNumberFormat="1" applyFont="1" applyFill="1" applyBorder="1" applyAlignment="1" applyProtection="1">
      <alignment horizontal="center"/>
      <protection locked="0"/>
    </xf>
    <xf numFmtId="1" fontId="176" fillId="0" borderId="233" xfId="6" applyNumberFormat="1" applyFont="1" applyBorder="1" applyAlignment="1" applyProtection="1">
      <alignment horizontal="center"/>
      <protection hidden="1"/>
    </xf>
    <xf numFmtId="1" fontId="51" fillId="0" borderId="233" xfId="6" applyNumberFormat="1" applyFont="1" applyBorder="1" applyAlignment="1" applyProtection="1">
      <alignment horizontal="center"/>
      <protection hidden="1"/>
    </xf>
    <xf numFmtId="1" fontId="155" fillId="5" borderId="200" xfId="6" applyNumberFormat="1" applyFont="1" applyFill="1" applyBorder="1" applyAlignment="1" applyProtection="1">
      <alignment horizontal="center"/>
      <protection locked="0"/>
    </xf>
    <xf numFmtId="1" fontId="51" fillId="0" borderId="235" xfId="6" applyNumberFormat="1" applyFont="1" applyBorder="1" applyAlignment="1" applyProtection="1">
      <alignment horizontal="center"/>
      <protection hidden="1"/>
    </xf>
    <xf numFmtId="1" fontId="155" fillId="0" borderId="139" xfId="2" applyNumberFormat="1" applyFont="1" applyBorder="1" applyAlignment="1" applyProtection="1">
      <alignment horizontal="center"/>
      <protection hidden="1"/>
    </xf>
    <xf numFmtId="0" fontId="44" fillId="16" borderId="233" xfId="6" applyFont="1" applyFill="1" applyBorder="1" applyAlignment="1" applyProtection="1">
      <alignment horizontal="center"/>
      <protection locked="0"/>
    </xf>
    <xf numFmtId="2" fontId="5" fillId="0" borderId="238" xfId="6" applyNumberFormat="1" applyFont="1" applyBorder="1" applyAlignment="1" applyProtection="1">
      <alignment horizontal="center"/>
      <protection hidden="1"/>
    </xf>
    <xf numFmtId="2" fontId="44" fillId="47" borderId="231" xfId="6" applyNumberFormat="1" applyFont="1" applyFill="1" applyBorder="1" applyAlignment="1" applyProtection="1">
      <alignment horizontal="center"/>
      <protection hidden="1"/>
    </xf>
    <xf numFmtId="164" fontId="32" fillId="4" borderId="244" xfId="6" applyNumberFormat="1" applyFont="1" applyFill="1" applyBorder="1" applyAlignment="1" applyProtection="1">
      <alignment horizontal="center"/>
      <protection hidden="1"/>
    </xf>
    <xf numFmtId="164" fontId="32" fillId="4" borderId="24" xfId="6" applyNumberFormat="1" applyFont="1" applyFill="1" applyBorder="1" applyAlignment="1" applyProtection="1">
      <alignment horizontal="center"/>
      <protection hidden="1"/>
    </xf>
    <xf numFmtId="0" fontId="154" fillId="0" borderId="121" xfId="6" applyFont="1" applyBorder="1" applyAlignment="1" applyProtection="1">
      <alignment horizontal="center"/>
      <protection hidden="1"/>
    </xf>
    <xf numFmtId="0" fontId="32" fillId="4" borderId="253" xfId="6" applyFont="1" applyFill="1" applyBorder="1" applyAlignment="1" applyProtection="1">
      <alignment horizontal="center"/>
      <protection hidden="1"/>
    </xf>
    <xf numFmtId="0" fontId="154" fillId="0" borderId="254" xfId="6" applyFont="1" applyBorder="1" applyAlignment="1" applyProtection="1">
      <alignment horizontal="center"/>
      <protection hidden="1"/>
    </xf>
    <xf numFmtId="2" fontId="32" fillId="14" borderId="257" xfId="6" applyNumberFormat="1" applyFont="1" applyFill="1" applyBorder="1" applyAlignment="1" applyProtection="1">
      <alignment horizontal="center"/>
      <protection hidden="1"/>
    </xf>
    <xf numFmtId="0" fontId="154" fillId="18" borderId="258" xfId="6" applyFont="1" applyFill="1" applyBorder="1" applyAlignment="1" applyProtection="1">
      <alignment horizontal="center"/>
      <protection locked="0"/>
    </xf>
    <xf numFmtId="1" fontId="170" fillId="5" borderId="114" xfId="6" applyNumberFormat="1" applyFont="1" applyFill="1" applyBorder="1" applyAlignment="1" applyProtection="1">
      <alignment horizontal="center"/>
      <protection locked="0"/>
    </xf>
    <xf numFmtId="0" fontId="93" fillId="12" borderId="264" xfId="6" applyFont="1" applyFill="1" applyBorder="1" applyAlignment="1" applyProtection="1">
      <alignment horizontal="center"/>
      <protection hidden="1"/>
    </xf>
    <xf numFmtId="1" fontId="170" fillId="7" borderId="58" xfId="6" applyNumberFormat="1" applyFont="1" applyFill="1" applyBorder="1" applyAlignment="1" applyProtection="1">
      <alignment horizontal="center"/>
      <protection locked="0"/>
    </xf>
    <xf numFmtId="1" fontId="104" fillId="0" borderId="114" xfId="6" applyNumberFormat="1" applyFont="1" applyBorder="1" applyAlignment="1" applyProtection="1">
      <alignment horizontal="center"/>
      <protection hidden="1"/>
    </xf>
    <xf numFmtId="1" fontId="106" fillId="0" borderId="114" xfId="6" applyNumberFormat="1" applyFont="1" applyBorder="1" applyAlignment="1" applyProtection="1">
      <alignment horizontal="center"/>
      <protection hidden="1"/>
    </xf>
    <xf numFmtId="2" fontId="5" fillId="0" borderId="68" xfId="288" applyNumberFormat="1" applyFont="1" applyBorder="1" applyAlignment="1" applyProtection="1">
      <alignment horizontal="center"/>
      <protection hidden="1"/>
    </xf>
    <xf numFmtId="0" fontId="32" fillId="14" borderId="295" xfId="6" applyFont="1" applyFill="1" applyBorder="1" applyAlignment="1" applyProtection="1">
      <alignment horizontal="center"/>
      <protection hidden="1"/>
    </xf>
    <xf numFmtId="0" fontId="154" fillId="14" borderId="252" xfId="6" applyFont="1" applyFill="1" applyBorder="1" applyAlignment="1" applyProtection="1">
      <alignment horizontal="center"/>
      <protection hidden="1"/>
    </xf>
    <xf numFmtId="0" fontId="154" fillId="14" borderId="16" xfId="6" applyFont="1" applyFill="1" applyBorder="1" applyAlignment="1" applyProtection="1">
      <alignment horizontal="center"/>
      <protection hidden="1"/>
    </xf>
    <xf numFmtId="0" fontId="32" fillId="14" borderId="296" xfId="6" applyFont="1" applyFill="1" applyBorder="1" applyAlignment="1" applyProtection="1">
      <alignment horizontal="center"/>
      <protection hidden="1"/>
    </xf>
    <xf numFmtId="0" fontId="154" fillId="14" borderId="256" xfId="6" applyFont="1" applyFill="1" applyBorder="1" applyAlignment="1" applyProtection="1">
      <alignment horizontal="center"/>
      <protection hidden="1"/>
    </xf>
    <xf numFmtId="164" fontId="51" fillId="0" borderId="295" xfId="6" applyNumberFormat="1" applyFont="1" applyBorder="1" applyAlignment="1" applyProtection="1">
      <alignment horizontal="center"/>
      <protection hidden="1"/>
    </xf>
    <xf numFmtId="0" fontId="155" fillId="7" borderId="252" xfId="6" applyFont="1" applyFill="1" applyBorder="1" applyAlignment="1" applyProtection="1">
      <alignment horizontal="center"/>
      <protection locked="0"/>
    </xf>
    <xf numFmtId="0" fontId="155" fillId="5" borderId="226" xfId="6" applyFont="1" applyFill="1" applyBorder="1" applyAlignment="1" applyProtection="1">
      <alignment horizontal="center"/>
      <protection locked="0"/>
    </xf>
    <xf numFmtId="164" fontId="51" fillId="0" borderId="259" xfId="6" applyNumberFormat="1" applyFont="1" applyBorder="1" applyAlignment="1" applyProtection="1">
      <alignment horizontal="center"/>
      <protection hidden="1"/>
    </xf>
    <xf numFmtId="0" fontId="155" fillId="7" borderId="260" xfId="6" applyFont="1" applyFill="1" applyBorder="1" applyAlignment="1" applyProtection="1">
      <alignment horizontal="center"/>
      <protection locked="0"/>
    </xf>
    <xf numFmtId="0" fontId="155" fillId="5" borderId="219" xfId="6" applyFont="1" applyFill="1" applyBorder="1" applyAlignment="1" applyProtection="1">
      <alignment horizontal="center"/>
      <protection locked="0"/>
    </xf>
    <xf numFmtId="164" fontId="160" fillId="0" borderId="297" xfId="6" applyNumberFormat="1" applyFont="1" applyBorder="1" applyAlignment="1" applyProtection="1">
      <alignment horizontal="center"/>
      <protection hidden="1"/>
    </xf>
    <xf numFmtId="0" fontId="159" fillId="7" borderId="267" xfId="6" applyFont="1" applyFill="1" applyBorder="1" applyAlignment="1" applyProtection="1">
      <alignment horizontal="center"/>
      <protection locked="0"/>
    </xf>
    <xf numFmtId="2" fontId="51" fillId="0" borderId="298" xfId="6" applyNumberFormat="1" applyFont="1" applyBorder="1" applyAlignment="1" applyProtection="1">
      <alignment horizontal="center"/>
      <protection hidden="1"/>
    </xf>
    <xf numFmtId="0" fontId="155" fillId="7" borderId="268" xfId="6" applyFont="1" applyFill="1" applyBorder="1" applyAlignment="1" applyProtection="1">
      <alignment horizontal="center"/>
      <protection locked="0"/>
    </xf>
    <xf numFmtId="0" fontId="32" fillId="14" borderId="20" xfId="6" applyFont="1" applyFill="1" applyBorder="1" applyAlignment="1" applyProtection="1">
      <alignment horizontal="center"/>
      <protection hidden="1"/>
    </xf>
    <xf numFmtId="164" fontId="51" fillId="0" borderId="58" xfId="6" applyNumberFormat="1" applyFont="1" applyBorder="1" applyAlignment="1" applyProtection="1">
      <alignment horizontal="center"/>
      <protection hidden="1"/>
    </xf>
    <xf numFmtId="164" fontId="32" fillId="4" borderId="128" xfId="6" applyNumberFormat="1" applyFont="1" applyFill="1" applyBorder="1" applyAlignment="1" applyProtection="1">
      <alignment horizontal="center"/>
      <protection hidden="1"/>
    </xf>
    <xf numFmtId="164" fontId="25" fillId="4" borderId="128" xfId="6" applyNumberFormat="1" applyFont="1" applyFill="1" applyBorder="1" applyAlignment="1" applyProtection="1">
      <alignment horizontal="center"/>
      <protection hidden="1"/>
    </xf>
    <xf numFmtId="1" fontId="52" fillId="4" borderId="16" xfId="6" applyNumberFormat="1" applyFont="1" applyFill="1" applyBorder="1" applyAlignment="1" applyProtection="1">
      <alignment horizontal="center"/>
      <protection hidden="1"/>
    </xf>
    <xf numFmtId="0" fontId="5" fillId="5" borderId="274" xfId="288" applyFont="1" applyFill="1" applyBorder="1" applyAlignment="1" applyProtection="1">
      <alignment horizontal="center"/>
      <protection locked="0"/>
    </xf>
    <xf numFmtId="0" fontId="5" fillId="5" borderId="273" xfId="6" applyFont="1" applyFill="1" applyBorder="1" applyAlignment="1" applyProtection="1">
      <alignment horizontal="center"/>
      <protection locked="0"/>
    </xf>
    <xf numFmtId="0" fontId="5" fillId="5" borderId="263" xfId="6" applyFont="1" applyFill="1" applyBorder="1" applyAlignment="1" applyProtection="1">
      <alignment horizontal="center"/>
      <protection locked="0"/>
    </xf>
    <xf numFmtId="0" fontId="5" fillId="5" borderId="283" xfId="6" applyFont="1" applyFill="1" applyBorder="1" applyAlignment="1" applyProtection="1">
      <alignment horizontal="center" wrapText="1"/>
      <protection locked="0"/>
    </xf>
    <xf numFmtId="2" fontId="5" fillId="0" borderId="263" xfId="288" applyNumberFormat="1" applyFont="1" applyBorder="1" applyAlignment="1" applyProtection="1">
      <alignment horizontal="center" wrapText="1"/>
      <protection hidden="1"/>
    </xf>
    <xf numFmtId="0" fontId="44" fillId="47" borderId="590" xfId="198" applyFont="1" applyFill="1" applyBorder="1" applyAlignment="1" applyProtection="1">
      <alignment horizontal="center"/>
      <protection hidden="1"/>
    </xf>
    <xf numFmtId="164" fontId="56" fillId="0" borderId="178" xfId="6" applyNumberFormat="1" applyFont="1" applyBorder="1" applyAlignment="1" applyProtection="1">
      <alignment horizontal="center"/>
      <protection hidden="1"/>
    </xf>
    <xf numFmtId="164" fontId="56" fillId="0" borderId="183" xfId="6" applyNumberFormat="1" applyFont="1" applyBorder="1" applyAlignment="1" applyProtection="1">
      <alignment horizontal="center"/>
      <protection hidden="1"/>
    </xf>
    <xf numFmtId="164" fontId="56" fillId="0" borderId="0" xfId="6" applyNumberFormat="1" applyFont="1" applyBorder="1" applyAlignment="1" applyProtection="1">
      <alignment horizontal="center"/>
      <protection hidden="1"/>
    </xf>
    <xf numFmtId="164" fontId="56" fillId="0" borderId="25" xfId="6" applyNumberFormat="1" applyFont="1" applyBorder="1" applyAlignment="1" applyProtection="1">
      <alignment horizontal="center" wrapText="1"/>
      <protection hidden="1"/>
    </xf>
    <xf numFmtId="164" fontId="56" fillId="0" borderId="30" xfId="6" applyNumberFormat="1" applyFont="1" applyBorder="1" applyAlignment="1" applyProtection="1">
      <alignment horizontal="center" wrapText="1"/>
      <protection hidden="1"/>
    </xf>
    <xf numFmtId="0" fontId="26" fillId="0" borderId="53" xfId="0" applyFont="1" applyBorder="1" applyAlignment="1" applyProtection="1">
      <alignment horizontal="center"/>
      <protection hidden="1"/>
    </xf>
    <xf numFmtId="0" fontId="5" fillId="5" borderId="56" xfId="2" applyFill="1" applyBorder="1" applyAlignment="1" applyProtection="1">
      <alignment horizontal="center"/>
      <protection locked="0"/>
    </xf>
    <xf numFmtId="0" fontId="5" fillId="5" borderId="60" xfId="2" applyFill="1" applyBorder="1" applyAlignment="1" applyProtection="1">
      <alignment horizontal="center"/>
      <protection locked="0"/>
    </xf>
    <xf numFmtId="0" fontId="5" fillId="5" borderId="60" xfId="0" applyFont="1" applyFill="1" applyBorder="1" applyAlignment="1" applyProtection="1">
      <alignment horizontal="center"/>
      <protection locked="0"/>
    </xf>
    <xf numFmtId="0" fontId="5" fillId="5" borderId="124" xfId="1" applyFont="1" applyFill="1" applyBorder="1" applyAlignment="1" applyProtection="1">
      <alignment horizontal="center"/>
      <protection locked="0"/>
    </xf>
    <xf numFmtId="0" fontId="26" fillId="0" borderId="130" xfId="2" applyFont="1" applyBorder="1" applyAlignment="1" applyProtection="1">
      <alignment horizontal="center"/>
      <protection hidden="1"/>
    </xf>
    <xf numFmtId="0" fontId="52" fillId="0" borderId="118" xfId="2" applyFont="1" applyBorder="1" applyAlignment="1" applyProtection="1">
      <alignment horizontal="center"/>
      <protection hidden="1"/>
    </xf>
    <xf numFmtId="0" fontId="52" fillId="0" borderId="116" xfId="2" applyFont="1" applyBorder="1" applyAlignment="1" applyProtection="1">
      <alignment horizontal="center"/>
      <protection hidden="1"/>
    </xf>
    <xf numFmtId="0" fontId="5" fillId="5" borderId="133" xfId="200" applyFont="1" applyFill="1" applyBorder="1" applyAlignment="1" applyProtection="1">
      <alignment horizontal="center"/>
      <protection locked="0"/>
    </xf>
    <xf numFmtId="0" fontId="5" fillId="5" borderId="71" xfId="200" applyFont="1" applyFill="1" applyBorder="1" applyAlignment="1" applyProtection="1">
      <alignment horizontal="center"/>
      <protection locked="0"/>
    </xf>
    <xf numFmtId="0" fontId="5" fillId="5" borderId="138" xfId="2" applyFill="1" applyBorder="1" applyAlignment="1" applyProtection="1">
      <alignment horizontal="center"/>
      <protection locked="0"/>
    </xf>
    <xf numFmtId="1" fontId="52" fillId="0" borderId="140" xfId="2" applyNumberFormat="1" applyFont="1" applyBorder="1" applyAlignment="1" applyProtection="1">
      <alignment horizontal="center"/>
      <protection hidden="1"/>
    </xf>
    <xf numFmtId="164" fontId="52" fillId="0" borderId="120" xfId="2" applyNumberFormat="1" applyFont="1" applyBorder="1" applyAlignment="1" applyProtection="1">
      <alignment horizontal="center"/>
      <protection hidden="1"/>
    </xf>
    <xf numFmtId="0" fontId="34" fillId="14" borderId="353" xfId="198" applyFont="1" applyFill="1" applyBorder="1" applyAlignment="1" applyProtection="1">
      <alignment horizontal="center"/>
      <protection hidden="1"/>
    </xf>
    <xf numFmtId="0" fontId="5" fillId="14" borderId="372" xfId="198" applyFont="1" applyFill="1" applyBorder="1" applyAlignment="1" applyProtection="1">
      <alignment horizontal="center"/>
      <protection hidden="1"/>
    </xf>
    <xf numFmtId="0" fontId="5" fillId="14" borderId="53" xfId="198" applyFont="1" applyFill="1" applyBorder="1" applyAlignment="1" applyProtection="1">
      <alignment horizontal="center"/>
      <protection hidden="1"/>
    </xf>
    <xf numFmtId="0" fontId="36" fillId="14" borderId="353" xfId="198" applyFont="1" applyFill="1" applyBorder="1" applyAlignment="1" applyProtection="1">
      <alignment horizontal="center"/>
      <protection hidden="1"/>
    </xf>
    <xf numFmtId="0" fontId="175" fillId="14" borderId="353" xfId="198" applyFont="1" applyFill="1" applyBorder="1" applyAlignment="1" applyProtection="1">
      <alignment horizontal="center"/>
      <protection hidden="1"/>
    </xf>
    <xf numFmtId="0" fontId="34" fillId="15" borderId="273" xfId="2" applyFont="1" applyFill="1" applyBorder="1" applyAlignment="1" applyProtection="1">
      <alignment horizontal="center"/>
      <protection locked="0"/>
    </xf>
    <xf numFmtId="0" fontId="5" fillId="15" borderId="368" xfId="2" applyFill="1" applyBorder="1" applyAlignment="1" applyProtection="1">
      <alignment horizontal="center"/>
      <protection locked="0"/>
    </xf>
    <xf numFmtId="0" fontId="5" fillId="15" borderId="56" xfId="2" applyFill="1" applyBorder="1" applyAlignment="1" applyProtection="1">
      <alignment horizontal="center"/>
      <protection locked="0"/>
    </xf>
    <xf numFmtId="0" fontId="5" fillId="6" borderId="60" xfId="2" applyFill="1" applyBorder="1" applyAlignment="1" applyProtection="1">
      <alignment horizontal="center"/>
      <protection locked="0"/>
    </xf>
    <xf numFmtId="0" fontId="175" fillId="15" borderId="273" xfId="2" applyFont="1" applyFill="1" applyBorder="1" applyAlignment="1" applyProtection="1">
      <alignment horizontal="center"/>
      <protection locked="0"/>
    </xf>
    <xf numFmtId="0" fontId="5" fillId="15" borderId="230" xfId="2" applyFill="1" applyBorder="1" applyAlignment="1" applyProtection="1">
      <alignment horizontal="center"/>
      <protection locked="0"/>
    </xf>
    <xf numFmtId="0" fontId="5" fillId="15" borderId="60" xfId="2" applyFill="1" applyBorder="1" applyAlignment="1" applyProtection="1">
      <alignment horizontal="center"/>
      <protection locked="0"/>
    </xf>
    <xf numFmtId="0" fontId="34" fillId="15" borderId="274" xfId="2" applyFont="1" applyFill="1" applyBorder="1" applyAlignment="1" applyProtection="1">
      <alignment horizontal="center"/>
      <protection locked="0"/>
    </xf>
    <xf numFmtId="0" fontId="5" fillId="15" borderId="369" xfId="2" applyFill="1" applyBorder="1" applyAlignment="1" applyProtection="1">
      <alignment horizontal="center"/>
      <protection locked="0"/>
    </xf>
    <xf numFmtId="0" fontId="5" fillId="15" borderId="338" xfId="2" applyFill="1" applyBorder="1" applyAlignment="1" applyProtection="1">
      <alignment horizontal="center"/>
      <protection locked="0"/>
    </xf>
    <xf numFmtId="0" fontId="36" fillId="6" borderId="274" xfId="2" applyFont="1" applyFill="1" applyBorder="1" applyAlignment="1" applyProtection="1">
      <alignment horizontal="center"/>
      <protection locked="0"/>
    </xf>
    <xf numFmtId="0" fontId="5" fillId="6" borderId="369" xfId="2" applyFill="1" applyBorder="1" applyAlignment="1" applyProtection="1">
      <alignment horizontal="center"/>
      <protection locked="0"/>
    </xf>
    <xf numFmtId="0" fontId="5" fillId="6" borderId="338" xfId="2" applyFill="1" applyBorder="1" applyAlignment="1" applyProtection="1">
      <alignment horizontal="center"/>
      <protection locked="0"/>
    </xf>
    <xf numFmtId="0" fontId="175" fillId="15" borderId="274" xfId="2" applyFont="1" applyFill="1" applyBorder="1" applyAlignment="1" applyProtection="1">
      <alignment horizontal="center"/>
      <protection locked="0"/>
    </xf>
    <xf numFmtId="1" fontId="34" fillId="0" borderId="469" xfId="2" applyNumberFormat="1" applyFont="1" applyBorder="1" applyAlignment="1" applyProtection="1">
      <alignment horizontal="center"/>
      <protection hidden="1"/>
    </xf>
    <xf numFmtId="1" fontId="36" fillId="0" borderId="469" xfId="2" applyNumberFormat="1" applyFont="1" applyBorder="1" applyAlignment="1" applyProtection="1">
      <alignment horizontal="center"/>
      <protection hidden="1"/>
    </xf>
    <xf numFmtId="1" fontId="175" fillId="0" borderId="469" xfId="2" applyNumberFormat="1" applyFont="1" applyBorder="1" applyAlignment="1" applyProtection="1">
      <alignment horizontal="center"/>
      <protection hidden="1"/>
    </xf>
    <xf numFmtId="164" fontId="5" fillId="0" borderId="13" xfId="2" applyNumberFormat="1" applyFill="1" applyBorder="1" applyAlignment="1" applyProtection="1">
      <alignment horizontal="center"/>
      <protection hidden="1"/>
    </xf>
    <xf numFmtId="164" fontId="44" fillId="0" borderId="13" xfId="2" applyNumberFormat="1" applyFont="1" applyFill="1" applyBorder="1" applyAlignment="1" applyProtection="1">
      <alignment horizontal="center"/>
      <protection hidden="1"/>
    </xf>
    <xf numFmtId="164" fontId="5" fillId="0" borderId="13" xfId="2" applyNumberFormat="1" applyBorder="1" applyAlignment="1" applyProtection="1">
      <alignment horizontal="center"/>
      <protection hidden="1"/>
    </xf>
    <xf numFmtId="164" fontId="44" fillId="0" borderId="13" xfId="2" applyNumberFormat="1" applyFont="1" applyBorder="1" applyAlignment="1" applyProtection="1">
      <alignment horizontal="center"/>
      <protection hidden="1"/>
    </xf>
    <xf numFmtId="164" fontId="5" fillId="0" borderId="54" xfId="2" applyNumberFormat="1" applyFill="1" applyBorder="1" applyAlignment="1" applyProtection="1">
      <alignment horizontal="center"/>
      <protection hidden="1"/>
    </xf>
    <xf numFmtId="164" fontId="44" fillId="0" borderId="54" xfId="2" applyNumberFormat="1" applyFont="1" applyFill="1" applyBorder="1" applyAlignment="1" applyProtection="1">
      <alignment horizontal="center"/>
      <protection hidden="1"/>
    </xf>
    <xf numFmtId="164" fontId="5" fillId="0" borderId="54" xfId="2" applyNumberFormat="1" applyBorder="1" applyAlignment="1" applyProtection="1">
      <alignment horizontal="center"/>
      <protection hidden="1"/>
    </xf>
    <xf numFmtId="164" fontId="44" fillId="0" borderId="54" xfId="2" applyNumberFormat="1" applyFont="1" applyBorder="1" applyAlignment="1" applyProtection="1">
      <alignment horizontal="center"/>
      <protection hidden="1"/>
    </xf>
    <xf numFmtId="166" fontId="5" fillId="0" borderId="14" xfId="2" applyNumberFormat="1" applyBorder="1" applyAlignment="1" applyProtection="1">
      <alignment horizontal="center"/>
      <protection hidden="1"/>
    </xf>
    <xf numFmtId="2" fontId="5" fillId="0" borderId="14" xfId="1" applyNumberFormat="1" applyFont="1" applyBorder="1" applyAlignment="1" applyProtection="1">
      <alignment horizontal="center" vertical="center"/>
      <protection hidden="1"/>
    </xf>
    <xf numFmtId="0" fontId="5" fillId="6" borderId="583" xfId="1" applyFont="1" applyFill="1" applyBorder="1" applyAlignment="1" applyProtection="1">
      <alignment horizontal="center"/>
      <protection locked="0"/>
    </xf>
    <xf numFmtId="164" fontId="25" fillId="3" borderId="11" xfId="1" applyNumberFormat="1" applyFont="1" applyFill="1" applyBorder="1" applyAlignment="1" applyProtection="1">
      <alignment horizontal="center"/>
      <protection hidden="1"/>
    </xf>
    <xf numFmtId="0" fontId="15" fillId="4" borderId="0" xfId="3" applyFont="1" applyFill="1" applyAlignment="1" applyProtection="1">
      <alignment horizontal="center"/>
      <protection hidden="1"/>
    </xf>
    <xf numFmtId="0" fontId="26" fillId="0" borderId="275" xfId="1" applyFont="1" applyBorder="1" applyAlignment="1" applyProtection="1">
      <alignment horizontal="center"/>
      <protection hidden="1"/>
    </xf>
    <xf numFmtId="0" fontId="5" fillId="13" borderId="351" xfId="410" applyFont="1" applyFill="1" applyBorder="1" applyAlignment="1" applyProtection="1">
      <alignment horizontal="center"/>
      <protection locked="0"/>
    </xf>
    <xf numFmtId="0" fontId="5" fillId="13" borderId="352" xfId="410" applyFont="1" applyFill="1" applyBorder="1" applyAlignment="1" applyProtection="1">
      <alignment horizontal="center"/>
      <protection locked="0"/>
    </xf>
    <xf numFmtId="0" fontId="5" fillId="5" borderId="352" xfId="1" applyFont="1" applyFill="1" applyBorder="1" applyAlignment="1" applyProtection="1">
      <alignment horizontal="center"/>
      <protection locked="0"/>
    </xf>
    <xf numFmtId="0" fontId="1" fillId="0" borderId="354" xfId="410" applyFont="1" applyBorder="1" applyAlignment="1" applyProtection="1">
      <alignment horizontal="center"/>
      <protection hidden="1"/>
    </xf>
    <xf numFmtId="0" fontId="5" fillId="5" borderId="351" xfId="1" applyFont="1" applyFill="1" applyBorder="1" applyAlignment="1" applyProtection="1">
      <alignment horizontal="center"/>
      <protection locked="0"/>
    </xf>
    <xf numFmtId="0" fontId="5" fillId="6" borderId="355" xfId="1" applyFont="1" applyFill="1" applyBorder="1" applyAlignment="1" applyProtection="1">
      <alignment horizontal="center"/>
      <protection locked="0"/>
    </xf>
    <xf numFmtId="1" fontId="203" fillId="0" borderId="174" xfId="2" applyNumberFormat="1" applyFont="1" applyBorder="1" applyAlignment="1" applyProtection="1">
      <alignment horizontal="center"/>
      <protection hidden="1"/>
    </xf>
    <xf numFmtId="0" fontId="203" fillId="0" borderId="333" xfId="2" applyFont="1" applyBorder="1" applyAlignment="1" applyProtection="1">
      <alignment horizontal="center"/>
      <protection hidden="1"/>
    </xf>
    <xf numFmtId="0" fontId="203" fillId="0" borderId="334" xfId="2" applyFont="1" applyBorder="1" applyAlignment="1" applyProtection="1">
      <alignment horizontal="center"/>
      <protection hidden="1"/>
    </xf>
    <xf numFmtId="164" fontId="203" fillId="0" borderId="0" xfId="2" applyNumberFormat="1" applyFont="1" applyAlignment="1" applyProtection="1">
      <alignment horizontal="center"/>
      <protection hidden="1"/>
    </xf>
    <xf numFmtId="164" fontId="203" fillId="0" borderId="21" xfId="2" applyNumberFormat="1" applyFont="1" applyBorder="1" applyAlignment="1" applyProtection="1">
      <alignment horizontal="center"/>
      <protection hidden="1"/>
    </xf>
    <xf numFmtId="0" fontId="205" fillId="0" borderId="0" xfId="410" applyFont="1" applyBorder="1" applyAlignment="1" applyProtection="1">
      <alignment horizontal="center"/>
      <protection hidden="1"/>
    </xf>
    <xf numFmtId="0" fontId="205" fillId="0" borderId="21" xfId="410" applyFont="1" applyBorder="1" applyAlignment="1" applyProtection="1">
      <alignment horizontal="center"/>
      <protection hidden="1"/>
    </xf>
    <xf numFmtId="2" fontId="5" fillId="0" borderId="0" xfId="2" applyNumberFormat="1" applyAlignment="1" applyProtection="1">
      <alignment horizontal="center"/>
      <protection hidden="1"/>
    </xf>
    <xf numFmtId="0" fontId="203" fillId="0" borderId="0" xfId="410" applyFont="1" applyAlignment="1" applyProtection="1">
      <alignment horizontal="center"/>
      <protection hidden="1"/>
    </xf>
    <xf numFmtId="1" fontId="67" fillId="0" borderId="84" xfId="2" applyNumberFormat="1" applyFont="1" applyBorder="1" applyAlignment="1" applyProtection="1">
      <alignment horizontal="center"/>
      <protection hidden="1"/>
    </xf>
    <xf numFmtId="0" fontId="5" fillId="14" borderId="0" xfId="410" applyFont="1" applyFill="1" applyAlignment="1" applyProtection="1">
      <alignment horizontal="center"/>
      <protection hidden="1"/>
    </xf>
    <xf numFmtId="0" fontId="26" fillId="0" borderId="53" xfId="410" applyFont="1" applyBorder="1" applyAlignment="1" applyProtection="1">
      <alignment horizontal="center"/>
      <protection hidden="1"/>
    </xf>
    <xf numFmtId="0" fontId="34" fillId="14" borderId="353" xfId="410" applyFont="1" applyFill="1" applyBorder="1" applyAlignment="1" applyProtection="1">
      <alignment horizontal="center"/>
      <protection hidden="1"/>
    </xf>
    <xf numFmtId="0" fontId="5" fillId="14" borderId="372" xfId="410" applyFont="1" applyFill="1" applyBorder="1" applyAlignment="1" applyProtection="1">
      <alignment horizontal="center"/>
      <protection hidden="1"/>
    </xf>
    <xf numFmtId="0" fontId="5" fillId="14" borderId="53" xfId="410" applyFont="1" applyFill="1" applyBorder="1" applyAlignment="1" applyProtection="1">
      <alignment horizontal="center"/>
      <protection hidden="1"/>
    </xf>
    <xf numFmtId="0" fontId="36" fillId="14" borderId="353" xfId="410" applyFont="1" applyFill="1" applyBorder="1" applyAlignment="1" applyProtection="1">
      <alignment horizontal="center"/>
      <protection hidden="1"/>
    </xf>
    <xf numFmtId="0" fontId="5" fillId="14" borderId="353" xfId="410" applyFont="1" applyFill="1" applyBorder="1" applyAlignment="1" applyProtection="1">
      <alignment horizontal="center"/>
      <protection hidden="1"/>
    </xf>
    <xf numFmtId="0" fontId="5" fillId="16" borderId="56" xfId="410" applyFont="1" applyFill="1" applyBorder="1" applyAlignment="1" applyProtection="1">
      <alignment horizontal="center"/>
      <protection locked="0"/>
    </xf>
    <xf numFmtId="0" fontId="5" fillId="16" borderId="60" xfId="1" applyFont="1" applyFill="1" applyBorder="1" applyAlignment="1" applyProtection="1">
      <alignment horizontal="center"/>
      <protection locked="0"/>
    </xf>
    <xf numFmtId="0" fontId="5" fillId="16" borderId="338" xfId="1" applyFont="1" applyFill="1" applyBorder="1" applyAlignment="1" applyProtection="1">
      <alignment horizontal="center"/>
      <protection locked="0"/>
    </xf>
    <xf numFmtId="0" fontId="27" fillId="6" borderId="360" xfId="1" applyFont="1" applyFill="1" applyBorder="1" applyAlignment="1" applyProtection="1">
      <alignment horizontal="center"/>
      <protection locked="0"/>
    </xf>
    <xf numFmtId="0" fontId="27" fillId="9" borderId="360" xfId="1" applyFont="1" applyFill="1" applyBorder="1" applyAlignment="1" applyProtection="1">
      <alignment horizontal="center"/>
      <protection locked="0"/>
    </xf>
    <xf numFmtId="1" fontId="5" fillId="0" borderId="33" xfId="410" applyNumberFormat="1" applyFont="1" applyBorder="1" applyAlignment="1" applyProtection="1">
      <alignment horizontal="center"/>
      <protection hidden="1"/>
    </xf>
    <xf numFmtId="1" fontId="5" fillId="0" borderId="33" xfId="1" applyNumberFormat="1" applyFont="1" applyBorder="1" applyAlignment="1" applyProtection="1">
      <alignment horizontal="center"/>
      <protection hidden="1"/>
    </xf>
    <xf numFmtId="1" fontId="5" fillId="0" borderId="13" xfId="1" applyNumberFormat="1" applyFont="1" applyBorder="1" applyAlignment="1" applyProtection="1">
      <alignment horizontal="center"/>
      <protection hidden="1"/>
    </xf>
    <xf numFmtId="1" fontId="5" fillId="0" borderId="0" xfId="1" applyNumberFormat="1" applyFont="1" applyBorder="1" applyAlignment="1" applyProtection="1">
      <alignment horizontal="center"/>
      <protection hidden="1"/>
    </xf>
    <xf numFmtId="0" fontId="5" fillId="6" borderId="176" xfId="1" applyFont="1" applyFill="1" applyBorder="1" applyAlignment="1" applyProtection="1">
      <alignment horizontal="center"/>
      <protection locked="0"/>
    </xf>
    <xf numFmtId="0" fontId="5" fillId="6" borderId="350" xfId="1" applyFont="1" applyFill="1" applyBorder="1" applyAlignment="1" applyProtection="1">
      <alignment horizontal="center"/>
      <protection locked="0"/>
    </xf>
    <xf numFmtId="0" fontId="5" fillId="9" borderId="598" xfId="1" applyFont="1" applyFill="1" applyBorder="1" applyAlignment="1" applyProtection="1">
      <alignment horizontal="center"/>
      <protection locked="0"/>
    </xf>
    <xf numFmtId="0" fontId="44" fillId="47" borderId="570" xfId="198" applyFont="1" applyFill="1" applyBorder="1" applyAlignment="1" applyProtection="1">
      <alignment horizontal="center"/>
      <protection hidden="1"/>
    </xf>
    <xf numFmtId="0" fontId="44" fillId="47" borderId="569" xfId="198" applyFont="1" applyFill="1" applyBorder="1" applyAlignment="1" applyProtection="1">
      <alignment horizontal="center"/>
      <protection hidden="1"/>
    </xf>
    <xf numFmtId="0" fontId="44" fillId="47" borderId="599" xfId="198" applyFont="1" applyFill="1" applyBorder="1" applyAlignment="1" applyProtection="1">
      <alignment horizontal="center"/>
      <protection hidden="1"/>
    </xf>
    <xf numFmtId="0" fontId="26" fillId="14" borderId="199" xfId="6" applyFont="1" applyFill="1" applyBorder="1" applyAlignment="1" applyProtection="1">
      <alignment horizontal="center"/>
      <protection hidden="1"/>
    </xf>
    <xf numFmtId="0" fontId="26" fillId="0" borderId="53" xfId="6" applyFont="1" applyBorder="1" applyAlignment="1" applyProtection="1">
      <alignment horizontal="center"/>
      <protection hidden="1"/>
    </xf>
    <xf numFmtId="49" fontId="171" fillId="5" borderId="240" xfId="6" applyNumberFormat="1" applyFont="1" applyFill="1" applyBorder="1" applyAlignment="1" applyProtection="1">
      <alignment horizontal="center"/>
      <protection locked="0"/>
    </xf>
    <xf numFmtId="0" fontId="27" fillId="4" borderId="158" xfId="3" applyFont="1" applyFill="1" applyBorder="1" applyAlignment="1" applyProtection="1">
      <alignment horizontal="left"/>
      <protection hidden="1"/>
    </xf>
    <xf numFmtId="0" fontId="44" fillId="47" borderId="603" xfId="198" applyFont="1" applyFill="1" applyBorder="1" applyAlignment="1" applyProtection="1">
      <alignment horizontal="center"/>
      <protection hidden="1"/>
    </xf>
    <xf numFmtId="0" fontId="26" fillId="14" borderId="131" xfId="198" applyFont="1" applyFill="1" applyBorder="1" applyAlignment="1" applyProtection="1">
      <alignment horizontal="center"/>
      <protection hidden="1"/>
    </xf>
    <xf numFmtId="0" fontId="26" fillId="0" borderId="53" xfId="198" applyFont="1" applyBorder="1" applyAlignment="1" applyProtection="1">
      <alignment horizontal="center"/>
      <protection hidden="1"/>
    </xf>
    <xf numFmtId="0" fontId="92" fillId="4" borderId="35" xfId="429" applyFont="1" applyFill="1" applyBorder="1" applyAlignment="1" applyProtection="1">
      <protection hidden="1"/>
    </xf>
    <xf numFmtId="0" fontId="5" fillId="4" borderId="0" xfId="2" applyFont="1" applyFill="1" applyBorder="1" applyProtection="1">
      <protection hidden="1"/>
    </xf>
    <xf numFmtId="0" fontId="14" fillId="4" borderId="84" xfId="2" applyFont="1" applyFill="1" applyBorder="1" applyAlignment="1" applyProtection="1">
      <protection hidden="1"/>
    </xf>
    <xf numFmtId="0" fontId="14" fillId="4" borderId="84" xfId="2" applyFont="1" applyFill="1" applyBorder="1" applyAlignment="1" applyProtection="1">
      <alignment wrapText="1"/>
      <protection hidden="1"/>
    </xf>
    <xf numFmtId="0" fontId="1" fillId="4" borderId="0" xfId="429" applyFont="1" applyFill="1" applyBorder="1" applyProtection="1">
      <protection hidden="1"/>
    </xf>
    <xf numFmtId="0" fontId="1" fillId="4" borderId="84" xfId="2" applyFont="1" applyFill="1" applyBorder="1" applyProtection="1">
      <protection hidden="1"/>
    </xf>
    <xf numFmtId="0" fontId="236" fillId="4" borderId="84" xfId="2" applyFont="1" applyFill="1" applyBorder="1" applyAlignment="1" applyProtection="1">
      <alignment vertical="top" wrapText="1"/>
      <protection hidden="1"/>
    </xf>
    <xf numFmtId="0" fontId="52" fillId="2" borderId="84" xfId="2" applyFont="1" applyFill="1" applyBorder="1" applyAlignment="1" applyProtection="1">
      <alignment vertical="center"/>
      <protection hidden="1"/>
    </xf>
    <xf numFmtId="1" fontId="39" fillId="4" borderId="0" xfId="429" applyNumberFormat="1" applyFont="1" applyFill="1" applyBorder="1" applyAlignment="1" applyProtection="1">
      <alignment horizontal="left" wrapText="1"/>
      <protection hidden="1"/>
    </xf>
    <xf numFmtId="0" fontId="39" fillId="4" borderId="0" xfId="429" applyFont="1" applyFill="1" applyBorder="1" applyAlignment="1" applyProtection="1">
      <alignment horizontal="left" wrapText="1"/>
      <protection hidden="1"/>
    </xf>
    <xf numFmtId="0" fontId="5" fillId="2" borderId="84" xfId="2" applyFont="1" applyFill="1" applyBorder="1" applyAlignment="1" applyProtection="1">
      <alignment vertical="top" wrapText="1"/>
      <protection hidden="1"/>
    </xf>
    <xf numFmtId="0" fontId="5" fillId="2" borderId="0" xfId="2" applyFont="1" applyFill="1" applyBorder="1" applyAlignment="1" applyProtection="1">
      <alignment vertical="top" wrapText="1"/>
      <protection hidden="1"/>
    </xf>
    <xf numFmtId="0" fontId="5" fillId="2" borderId="153" xfId="2" applyFont="1" applyFill="1" applyBorder="1" applyAlignment="1" applyProtection="1">
      <alignment vertical="top" wrapText="1"/>
      <protection hidden="1"/>
    </xf>
    <xf numFmtId="0" fontId="5" fillId="2" borderId="25" xfId="2" applyFont="1" applyFill="1" applyBorder="1" applyAlignment="1" applyProtection="1">
      <alignment vertical="top" wrapText="1"/>
      <protection hidden="1"/>
    </xf>
    <xf numFmtId="0" fontId="44" fillId="2" borderId="25" xfId="2" applyFont="1" applyFill="1" applyBorder="1" applyAlignment="1" applyProtection="1">
      <alignment vertical="top" wrapText="1"/>
      <protection hidden="1"/>
    </xf>
    <xf numFmtId="0" fontId="5" fillId="4" borderId="11" xfId="2" applyFont="1" applyFill="1" applyBorder="1" applyProtection="1">
      <protection hidden="1"/>
    </xf>
    <xf numFmtId="0" fontId="236" fillId="4" borderId="11" xfId="2" applyFont="1" applyFill="1" applyBorder="1" applyAlignment="1" applyProtection="1">
      <alignment vertical="top" wrapText="1"/>
      <protection hidden="1"/>
    </xf>
    <xf numFmtId="0" fontId="26" fillId="0" borderId="182" xfId="6" applyFont="1" applyBorder="1" applyAlignment="1" applyProtection="1">
      <alignment horizontal="left"/>
      <protection hidden="1"/>
    </xf>
    <xf numFmtId="0" fontId="52" fillId="46" borderId="20" xfId="6" applyFont="1" applyFill="1" applyBorder="1" applyAlignment="1" applyProtection="1">
      <alignment horizontal="left"/>
      <protection hidden="1"/>
    </xf>
    <xf numFmtId="0" fontId="5" fillId="0" borderId="609" xfId="6" applyFont="1" applyBorder="1" applyAlignment="1" applyProtection="1">
      <alignment horizontal="center"/>
      <protection hidden="1"/>
    </xf>
    <xf numFmtId="0" fontId="152" fillId="0" borderId="79" xfId="3" applyFont="1" applyBorder="1" applyAlignment="1" applyProtection="1">
      <alignment horizontal="left"/>
      <protection hidden="1"/>
    </xf>
    <xf numFmtId="0" fontId="5" fillId="0" borderId="610" xfId="6" applyFont="1" applyBorder="1" applyAlignment="1" applyProtection="1">
      <alignment horizontal="center"/>
      <protection hidden="1"/>
    </xf>
    <xf numFmtId="0" fontId="44" fillId="5" borderId="612" xfId="6" applyFont="1" applyFill="1" applyBorder="1" applyAlignment="1" applyProtection="1">
      <alignment horizontal="center"/>
      <protection locked="0"/>
    </xf>
    <xf numFmtId="2" fontId="5" fillId="0" borderId="613" xfId="288" applyNumberFormat="1" applyFont="1" applyBorder="1" applyAlignment="1" applyProtection="1">
      <alignment horizontal="center"/>
      <protection hidden="1"/>
    </xf>
    <xf numFmtId="0" fontId="5" fillId="6" borderId="614" xfId="1" applyFont="1" applyFill="1" applyBorder="1" applyAlignment="1" applyProtection="1">
      <alignment horizontal="center"/>
      <protection locked="0"/>
    </xf>
    <xf numFmtId="0" fontId="5" fillId="5" borderId="615" xfId="3" applyFont="1" applyFill="1" applyBorder="1" applyAlignment="1" applyProtection="1">
      <alignment horizontal="center"/>
      <protection locked="0"/>
    </xf>
    <xf numFmtId="0" fontId="44" fillId="47" borderId="616" xfId="198" applyFont="1" applyFill="1" applyBorder="1" applyAlignment="1" applyProtection="1">
      <alignment horizontal="center"/>
      <protection hidden="1"/>
    </xf>
    <xf numFmtId="164" fontId="25" fillId="3" borderId="7" xfId="1" applyNumberFormat="1" applyFont="1" applyFill="1" applyBorder="1" applyAlignment="1" applyProtection="1">
      <alignment horizontal="center"/>
      <protection hidden="1"/>
    </xf>
    <xf numFmtId="2" fontId="25" fillId="3" borderId="26" xfId="0" applyNumberFormat="1" applyFont="1" applyFill="1" applyBorder="1" applyAlignment="1" applyProtection="1">
      <alignment horizontal="center"/>
      <protection hidden="1"/>
    </xf>
    <xf numFmtId="2" fontId="5" fillId="3" borderId="40" xfId="2" applyNumberFormat="1" applyFill="1" applyBorder="1" applyAlignment="1" applyProtection="1">
      <alignment horizontal="center"/>
      <protection hidden="1"/>
    </xf>
    <xf numFmtId="2" fontId="32" fillId="3" borderId="30" xfId="2" applyNumberFormat="1" applyFont="1" applyFill="1" applyBorder="1" applyAlignment="1" applyProtection="1">
      <alignment horizontal="right"/>
      <protection hidden="1"/>
    </xf>
    <xf numFmtId="164" fontId="27" fillId="3" borderId="21" xfId="1" applyNumberFormat="1" applyFont="1" applyFill="1" applyBorder="1" applyAlignment="1" applyProtection="1">
      <alignment horizontal="right"/>
      <protection hidden="1"/>
    </xf>
    <xf numFmtId="166" fontId="5" fillId="0" borderId="0" xfId="1" applyNumberFormat="1" applyFont="1" applyProtection="1">
      <protection hidden="1"/>
    </xf>
    <xf numFmtId="2" fontId="4" fillId="3" borderId="0" xfId="1" applyNumberFormat="1" applyFont="1" applyFill="1" applyAlignment="1" applyProtection="1">
      <protection hidden="1"/>
    </xf>
    <xf numFmtId="0" fontId="5" fillId="0" borderId="617" xfId="429" applyFont="1" applyBorder="1" applyAlignment="1" applyProtection="1">
      <alignment horizontal="center"/>
      <protection hidden="1"/>
    </xf>
    <xf numFmtId="0" fontId="5" fillId="16" borderId="617" xfId="429" applyFont="1" applyFill="1" applyBorder="1" applyAlignment="1" applyProtection="1">
      <alignment horizontal="center"/>
      <protection locked="0"/>
    </xf>
    <xf numFmtId="0" fontId="5" fillId="3" borderId="0" xfId="2" applyFill="1" applyBorder="1" applyAlignment="1" applyProtection="1">
      <alignment vertical="top"/>
      <protection hidden="1"/>
    </xf>
    <xf numFmtId="0" fontId="5" fillId="3" borderId="301" xfId="2" applyFill="1" applyBorder="1" applyAlignment="1" applyProtection="1">
      <alignment vertical="top"/>
      <protection hidden="1"/>
    </xf>
    <xf numFmtId="0" fontId="5" fillId="0" borderId="0" xfId="410" applyFont="1" applyBorder="1" applyProtection="1">
      <protection hidden="1"/>
    </xf>
    <xf numFmtId="9" fontId="67" fillId="0" borderId="84" xfId="2" applyNumberFormat="1" applyFont="1" applyBorder="1" applyAlignment="1" applyProtection="1">
      <alignment horizontal="center"/>
      <protection hidden="1"/>
    </xf>
    <xf numFmtId="9" fontId="67" fillId="0" borderId="301" xfId="2" applyNumberFormat="1" applyFont="1" applyBorder="1" applyAlignment="1" applyProtection="1">
      <alignment horizontal="center"/>
      <protection hidden="1"/>
    </xf>
    <xf numFmtId="0" fontId="44" fillId="47" borderId="617" xfId="198" applyFont="1" applyFill="1" applyBorder="1" applyAlignment="1" applyProtection="1">
      <alignment horizontal="center"/>
      <protection hidden="1"/>
    </xf>
    <xf numFmtId="0" fontId="5" fillId="3" borderId="0" xfId="2" applyFill="1" applyBorder="1" applyProtection="1">
      <protection hidden="1"/>
    </xf>
    <xf numFmtId="0" fontId="5" fillId="3" borderId="301" xfId="2" applyFill="1" applyBorder="1" applyProtection="1">
      <protection hidden="1"/>
    </xf>
    <xf numFmtId="0" fontId="1" fillId="0" borderId="0" xfId="410" applyFont="1" applyAlignment="1" applyProtection="1">
      <alignment horizontal="left"/>
      <protection hidden="1"/>
    </xf>
    <xf numFmtId="0" fontId="5" fillId="0" borderId="10" xfId="6" applyFont="1" applyFill="1" applyBorder="1" applyAlignment="1" applyProtection="1">
      <alignment horizontal="center"/>
      <protection hidden="1"/>
    </xf>
    <xf numFmtId="1" fontId="5" fillId="0" borderId="10" xfId="6" applyNumberFormat="1" applyFont="1" applyFill="1" applyBorder="1" applyAlignment="1" applyProtection="1">
      <alignment horizontal="center"/>
      <protection hidden="1"/>
    </xf>
    <xf numFmtId="0" fontId="1" fillId="0" borderId="10" xfId="6" applyFont="1" applyFill="1" applyBorder="1" applyProtection="1">
      <protection hidden="1"/>
    </xf>
    <xf numFmtId="2" fontId="9" fillId="0" borderId="0" xfId="2" applyNumberFormat="1" applyFont="1" applyFill="1" applyAlignment="1" applyProtection="1">
      <alignment horizontal="left"/>
      <protection hidden="1"/>
    </xf>
    <xf numFmtId="0" fontId="5" fillId="3" borderId="175" xfId="4" applyFont="1" applyFill="1" applyBorder="1" applyAlignment="1" applyProtection="1">
      <alignment wrapText="1"/>
      <protection hidden="1"/>
    </xf>
    <xf numFmtId="0" fontId="44" fillId="47" borderId="619" xfId="6" applyFont="1" applyFill="1" applyBorder="1" applyAlignment="1" applyProtection="1">
      <alignment horizontal="center"/>
      <protection hidden="1"/>
    </xf>
    <xf numFmtId="0" fontId="44" fillId="48" borderId="618" xfId="6" applyFont="1" applyFill="1" applyBorder="1" applyAlignment="1" applyProtection="1">
      <alignment horizontal="center"/>
      <protection locked="0"/>
    </xf>
    <xf numFmtId="0" fontId="44" fillId="0" borderId="154" xfId="6" applyFont="1" applyBorder="1" applyProtection="1">
      <protection hidden="1"/>
    </xf>
    <xf numFmtId="0" fontId="302" fillId="2" borderId="0" xfId="413" applyFont="1" applyFill="1" applyAlignment="1" applyProtection="1">
      <alignment horizontal="right"/>
      <protection hidden="1"/>
    </xf>
    <xf numFmtId="0" fontId="5" fillId="10" borderId="621" xfId="2" applyFont="1" applyFill="1" applyBorder="1" applyAlignment="1" applyProtection="1">
      <alignment horizontal="center" wrapText="1"/>
      <protection hidden="1"/>
    </xf>
    <xf numFmtId="0" fontId="5" fillId="13" borderId="623" xfId="2" applyNumberFormat="1" applyFill="1" applyBorder="1" applyAlignment="1" applyProtection="1">
      <alignment horizontal="center"/>
      <protection locked="0"/>
    </xf>
    <xf numFmtId="0" fontId="5" fillId="10" borderId="626" xfId="2" applyFont="1" applyFill="1" applyBorder="1" applyAlignment="1" applyProtection="1">
      <alignment horizontal="center"/>
      <protection hidden="1"/>
    </xf>
    <xf numFmtId="0" fontId="5" fillId="13" borderId="624" xfId="2" applyNumberFormat="1" applyFill="1" applyBorder="1" applyAlignment="1" applyProtection="1">
      <alignment horizontal="center"/>
      <protection locked="0"/>
    </xf>
    <xf numFmtId="0" fontId="5" fillId="3" borderId="629" xfId="2" applyFont="1" applyFill="1" applyBorder="1" applyAlignment="1" applyProtection="1">
      <alignment horizontal="center"/>
      <protection hidden="1"/>
    </xf>
    <xf numFmtId="166" fontId="5" fillId="3" borderId="629" xfId="2" applyNumberFormat="1" applyFont="1" applyFill="1" applyBorder="1" applyAlignment="1" applyProtection="1">
      <alignment horizontal="center"/>
      <protection hidden="1"/>
    </xf>
    <xf numFmtId="0" fontId="5" fillId="3" borderId="629" xfId="2" applyNumberFormat="1" applyFont="1" applyFill="1" applyBorder="1" applyAlignment="1" applyProtection="1">
      <alignment horizontal="center"/>
      <protection hidden="1"/>
    </xf>
    <xf numFmtId="0" fontId="204" fillId="2" borderId="574" xfId="4" applyFont="1" applyFill="1" applyBorder="1" applyAlignment="1" applyProtection="1">
      <alignment horizontal="left"/>
      <protection hidden="1"/>
    </xf>
    <xf numFmtId="0" fontId="5" fillId="4" borderId="0" xfId="2" applyFill="1" applyAlignment="1" applyProtection="1">
      <alignment vertical="top" wrapText="1"/>
      <protection hidden="1"/>
    </xf>
    <xf numFmtId="0" fontId="1" fillId="4" borderId="0" xfId="429" applyFont="1" applyFill="1" applyAlignment="1" applyProtection="1">
      <alignment vertical="top" wrapText="1"/>
      <protection hidden="1"/>
    </xf>
    <xf numFmtId="0" fontId="5" fillId="4" borderId="0" xfId="429" applyFont="1" applyFill="1" applyAlignment="1" applyProtection="1">
      <alignment horizontal="left" vertical="top" wrapText="1"/>
      <protection hidden="1"/>
    </xf>
    <xf numFmtId="0" fontId="5" fillId="5" borderId="0" xfId="2" applyFont="1" applyFill="1" applyAlignment="1" applyProtection="1">
      <alignment horizontal="center"/>
      <protection locked="0"/>
    </xf>
    <xf numFmtId="0" fontId="36" fillId="6" borderId="195" xfId="1" applyFont="1" applyFill="1" applyBorder="1" applyAlignment="1" applyProtection="1">
      <alignment horizontal="center"/>
      <protection locked="0"/>
    </xf>
    <xf numFmtId="0" fontId="5" fillId="6" borderId="150" xfId="1" applyFont="1" applyFill="1" applyBorder="1" applyAlignment="1" applyProtection="1">
      <alignment horizontal="center"/>
      <protection locked="0"/>
    </xf>
    <xf numFmtId="0" fontId="5" fillId="6" borderId="50" xfId="1" applyFont="1" applyFill="1" applyBorder="1" applyAlignment="1" applyProtection="1">
      <alignment horizontal="center"/>
      <protection locked="0"/>
    </xf>
    <xf numFmtId="0" fontId="5" fillId="6" borderId="60" xfId="1" applyFont="1" applyFill="1" applyBorder="1" applyAlignment="1" applyProtection="1">
      <alignment horizontal="center"/>
      <protection locked="0"/>
    </xf>
    <xf numFmtId="0" fontId="5" fillId="9" borderId="60" xfId="1" applyFont="1" applyFill="1" applyBorder="1" applyAlignment="1" applyProtection="1">
      <alignment horizontal="center"/>
      <protection locked="0"/>
    </xf>
    <xf numFmtId="0" fontId="208" fillId="6" borderId="230" xfId="1" applyFont="1" applyFill="1" applyBorder="1" applyAlignment="1" applyProtection="1">
      <alignment horizontal="center"/>
      <protection locked="0"/>
    </xf>
    <xf numFmtId="0" fontId="34" fillId="15" borderId="353" xfId="1" applyFont="1" applyFill="1" applyBorder="1" applyAlignment="1" applyProtection="1">
      <alignment horizontal="center"/>
      <protection locked="0"/>
    </xf>
    <xf numFmtId="0" fontId="5" fillId="15" borderId="372" xfId="1" applyFont="1" applyFill="1" applyBorder="1" applyAlignment="1" applyProtection="1">
      <alignment horizontal="center"/>
      <protection locked="0"/>
    </xf>
    <xf numFmtId="0" fontId="5" fillId="15" borderId="53" xfId="1" applyFont="1" applyFill="1" applyBorder="1" applyAlignment="1" applyProtection="1">
      <alignment horizontal="center"/>
      <protection locked="0"/>
    </xf>
    <xf numFmtId="0" fontId="36" fillId="6" borderId="353" xfId="1" applyFont="1" applyFill="1" applyBorder="1" applyAlignment="1" applyProtection="1">
      <alignment horizontal="center"/>
      <protection locked="0"/>
    </xf>
    <xf numFmtId="0" fontId="5" fillId="6" borderId="372" xfId="1" applyFont="1" applyFill="1" applyBorder="1" applyAlignment="1" applyProtection="1">
      <alignment horizontal="center"/>
      <protection locked="0"/>
    </xf>
    <xf numFmtId="0" fontId="5" fillId="6" borderId="53" xfId="1" applyFont="1" applyFill="1" applyBorder="1" applyAlignment="1" applyProtection="1">
      <alignment horizontal="center"/>
      <protection locked="0"/>
    </xf>
    <xf numFmtId="0" fontId="175" fillId="9" borderId="353" xfId="1" applyFont="1" applyFill="1" applyBorder="1" applyAlignment="1" applyProtection="1">
      <alignment horizontal="center"/>
      <protection locked="0"/>
    </xf>
    <xf numFmtId="0" fontId="5" fillId="9" borderId="372" xfId="1" applyFont="1" applyFill="1" applyBorder="1" applyAlignment="1" applyProtection="1">
      <alignment horizontal="center"/>
      <protection locked="0"/>
    </xf>
    <xf numFmtId="0" fontId="5" fillId="9" borderId="53" xfId="1" applyFont="1" applyFill="1" applyBorder="1" applyAlignment="1" applyProtection="1">
      <alignment horizontal="center"/>
      <protection locked="0"/>
    </xf>
    <xf numFmtId="0" fontId="1" fillId="3" borderId="0" xfId="4" applyFont="1" applyFill="1" applyAlignment="1" applyProtection="1">
      <alignment horizontal="left"/>
      <protection hidden="1"/>
    </xf>
    <xf numFmtId="0" fontId="219" fillId="4" borderId="0" xfId="2" applyFont="1" applyFill="1" applyAlignment="1" applyProtection="1">
      <alignment vertical="top" wrapText="1"/>
      <protection hidden="1"/>
    </xf>
    <xf numFmtId="0" fontId="5" fillId="3" borderId="0" xfId="6" applyFont="1" applyFill="1" applyAlignment="1" applyProtection="1">
      <protection hidden="1"/>
    </xf>
    <xf numFmtId="0" fontId="14" fillId="3" borderId="0" xfId="6" applyFont="1" applyFill="1" applyAlignment="1" applyProtection="1">
      <protection hidden="1"/>
    </xf>
    <xf numFmtId="0" fontId="44" fillId="4" borderId="0" xfId="2" applyFont="1" applyFill="1" applyAlignment="1" applyProtection="1">
      <protection hidden="1"/>
    </xf>
    <xf numFmtId="0" fontId="39" fillId="4" borderId="0" xfId="2" applyFont="1" applyFill="1" applyAlignment="1" applyProtection="1">
      <alignment textRotation="90"/>
      <protection hidden="1"/>
    </xf>
    <xf numFmtId="0" fontId="44" fillId="4" borderId="0" xfId="2" applyFont="1" applyFill="1" applyAlignment="1" applyProtection="1">
      <alignment textRotation="90"/>
      <protection hidden="1"/>
    </xf>
    <xf numFmtId="2" fontId="4" fillId="3" borderId="0" xfId="1" applyNumberFormat="1" applyFont="1" applyFill="1" applyAlignment="1" applyProtection="1">
      <alignment textRotation="90"/>
      <protection hidden="1"/>
    </xf>
    <xf numFmtId="164" fontId="221" fillId="2" borderId="575" xfId="4" applyNumberFormat="1" applyFont="1" applyFill="1" applyBorder="1" applyAlignment="1" applyProtection="1">
      <alignment horizontal="center"/>
      <protection hidden="1"/>
    </xf>
    <xf numFmtId="0" fontId="66" fillId="2" borderId="0" xfId="4" applyFont="1" applyFill="1" applyProtection="1">
      <protection hidden="1"/>
    </xf>
    <xf numFmtId="2" fontId="136" fillId="2" borderId="570" xfId="4" applyNumberFormat="1" applyFont="1" applyFill="1" applyBorder="1" applyAlignment="1" applyProtection="1">
      <alignment horizontal="center"/>
      <protection hidden="1"/>
    </xf>
    <xf numFmtId="0" fontId="220" fillId="4" borderId="301" xfId="429" applyFont="1" applyFill="1" applyBorder="1" applyAlignment="1" applyProtection="1">
      <alignment horizontal="left"/>
      <protection hidden="1"/>
    </xf>
    <xf numFmtId="0" fontId="300" fillId="3" borderId="193" xfId="411" applyFont="1" applyFill="1" applyBorder="1" applyAlignment="1" applyProtection="1">
      <alignment horizontal="center" wrapText="1"/>
      <protection hidden="1"/>
    </xf>
    <xf numFmtId="166" fontId="300" fillId="3" borderId="537" xfId="4" applyNumberFormat="1" applyFont="1" applyFill="1" applyBorder="1" applyAlignment="1" applyProtection="1">
      <alignment horizontal="center"/>
      <protection hidden="1"/>
    </xf>
    <xf numFmtId="2" fontId="300" fillId="3" borderId="537" xfId="411" applyNumberFormat="1" applyFont="1" applyFill="1" applyBorder="1" applyAlignment="1" applyProtection="1">
      <alignment horizontal="center"/>
      <protection hidden="1"/>
    </xf>
    <xf numFmtId="166" fontId="300" fillId="3" borderId="570" xfId="4" applyNumberFormat="1" applyFont="1" applyFill="1" applyBorder="1" applyAlignment="1" applyProtection="1">
      <alignment horizontal="center"/>
      <protection hidden="1"/>
    </xf>
    <xf numFmtId="164" fontId="300" fillId="3" borderId="570" xfId="411" applyNumberFormat="1" applyFont="1" applyFill="1" applyBorder="1" applyAlignment="1" applyProtection="1">
      <alignment horizontal="center"/>
      <protection hidden="1"/>
    </xf>
    <xf numFmtId="164" fontId="300" fillId="3" borderId="570" xfId="4" applyNumberFormat="1" applyFont="1" applyFill="1" applyBorder="1" applyAlignment="1" applyProtection="1">
      <alignment horizontal="center"/>
      <protection hidden="1"/>
    </xf>
    <xf numFmtId="0" fontId="106" fillId="0" borderId="634" xfId="6" applyFont="1" applyBorder="1" applyProtection="1">
      <protection hidden="1"/>
    </xf>
    <xf numFmtId="0" fontId="44" fillId="5" borderId="637" xfId="2" applyFont="1" applyFill="1" applyBorder="1" applyAlignment="1" applyProtection="1">
      <alignment horizontal="center"/>
      <protection locked="0"/>
    </xf>
    <xf numFmtId="1" fontId="303" fillId="0" borderId="0" xfId="2" applyNumberFormat="1" applyFont="1" applyBorder="1" applyAlignment="1" applyProtection="1">
      <alignment horizontal="center"/>
      <protection hidden="1"/>
    </xf>
    <xf numFmtId="1" fontId="303" fillId="0" borderId="21" xfId="1" applyNumberFormat="1" applyFont="1" applyBorder="1" applyAlignment="1" applyProtection="1">
      <alignment horizontal="center"/>
      <protection hidden="1"/>
    </xf>
    <xf numFmtId="9" fontId="303" fillId="0" borderId="0" xfId="2" applyNumberFormat="1" applyFont="1" applyBorder="1" applyAlignment="1" applyProtection="1">
      <alignment horizontal="center"/>
      <protection hidden="1"/>
    </xf>
    <xf numFmtId="9" fontId="303" fillId="0" borderId="21" xfId="2" applyNumberFormat="1" applyFont="1" applyBorder="1" applyAlignment="1" applyProtection="1">
      <alignment horizontal="center"/>
      <protection hidden="1"/>
    </xf>
    <xf numFmtId="0" fontId="303" fillId="0" borderId="14" xfId="2" applyFont="1" applyBorder="1" applyAlignment="1" applyProtection="1">
      <alignment horizontal="right"/>
      <protection hidden="1"/>
    </xf>
    <xf numFmtId="1" fontId="303" fillId="0" borderId="21" xfId="2" applyNumberFormat="1" applyFont="1" applyBorder="1" applyAlignment="1" applyProtection="1">
      <alignment horizontal="center"/>
      <protection hidden="1"/>
    </xf>
    <xf numFmtId="1" fontId="303" fillId="0" borderId="35" xfId="6" applyNumberFormat="1" applyFont="1" applyBorder="1" applyAlignment="1" applyProtection="1">
      <alignment horizontal="center" wrapText="1"/>
      <protection hidden="1"/>
    </xf>
    <xf numFmtId="1" fontId="303" fillId="0" borderId="21" xfId="6" applyNumberFormat="1" applyFont="1" applyBorder="1" applyAlignment="1" applyProtection="1">
      <alignment horizontal="center" wrapText="1"/>
      <protection hidden="1"/>
    </xf>
    <xf numFmtId="1" fontId="303" fillId="0" borderId="86" xfId="6" applyNumberFormat="1" applyFont="1" applyBorder="1" applyAlignment="1" applyProtection="1">
      <alignment horizontal="center"/>
      <protection hidden="1"/>
    </xf>
    <xf numFmtId="1" fontId="303" fillId="0" borderId="293" xfId="6" applyNumberFormat="1" applyFont="1" applyBorder="1" applyAlignment="1" applyProtection="1">
      <alignment horizontal="center"/>
      <protection hidden="1"/>
    </xf>
    <xf numFmtId="0" fontId="13" fillId="3" borderId="0" xfId="3" applyFont="1" applyFill="1" applyAlignment="1" applyProtection="1">
      <alignment horizontal="left"/>
      <protection hidden="1"/>
    </xf>
    <xf numFmtId="0" fontId="5" fillId="3" borderId="0" xfId="2" applyFill="1" applyBorder="1" applyAlignment="1" applyProtection="1">
      <protection hidden="1"/>
    </xf>
    <xf numFmtId="0" fontId="5" fillId="0" borderId="292" xfId="410" applyFont="1" applyBorder="1" applyProtection="1">
      <protection hidden="1"/>
    </xf>
    <xf numFmtId="0" fontId="5" fillId="0" borderId="293" xfId="410" applyFont="1" applyBorder="1" applyProtection="1">
      <protection hidden="1"/>
    </xf>
    <xf numFmtId="0" fontId="13" fillId="14" borderId="0" xfId="3" applyFont="1" applyFill="1" applyAlignment="1" applyProtection="1">
      <protection hidden="1"/>
    </xf>
    <xf numFmtId="0" fontId="20" fillId="2" borderId="0" xfId="288" applyFont="1" applyFill="1" applyBorder="1" applyAlignment="1" applyProtection="1">
      <alignment wrapText="1"/>
      <protection hidden="1"/>
    </xf>
    <xf numFmtId="0" fontId="5" fillId="6" borderId="0" xfId="1" applyFont="1" applyFill="1" applyBorder="1" applyAlignment="1" applyProtection="1">
      <alignment horizontal="center"/>
      <protection locked="0"/>
    </xf>
    <xf numFmtId="0" fontId="19" fillId="5" borderId="0" xfId="2" applyFont="1" applyFill="1" applyAlignment="1" applyProtection="1">
      <alignment horizontal="center"/>
      <protection locked="0"/>
    </xf>
    <xf numFmtId="0" fontId="17" fillId="5" borderId="0" xfId="2" applyFont="1" applyFill="1" applyAlignment="1" applyProtection="1">
      <alignment horizontal="center"/>
      <protection locked="0"/>
    </xf>
    <xf numFmtId="0" fontId="1" fillId="0" borderId="302" xfId="198" applyFont="1" applyBorder="1" applyProtection="1">
      <protection hidden="1"/>
    </xf>
    <xf numFmtId="0" fontId="39" fillId="0" borderId="342" xfId="283" applyFont="1" applyFill="1" applyBorder="1" applyAlignment="1" applyProtection="1">
      <alignment horizontal="left" wrapText="1"/>
      <protection hidden="1"/>
    </xf>
    <xf numFmtId="0" fontId="5" fillId="0" borderId="0" xfId="424" applyProtection="1">
      <protection hidden="1"/>
    </xf>
    <xf numFmtId="0" fontId="5" fillId="4" borderId="0" xfId="6" applyFont="1" applyFill="1" applyAlignment="1" applyProtection="1">
      <alignment wrapText="1"/>
      <protection hidden="1"/>
    </xf>
    <xf numFmtId="0" fontId="44" fillId="5" borderId="638" xfId="2" applyFont="1" applyFill="1" applyBorder="1" applyAlignment="1" applyProtection="1">
      <alignment horizontal="right"/>
      <protection locked="0"/>
    </xf>
    <xf numFmtId="0" fontId="44" fillId="5" borderId="639" xfId="2" applyFont="1" applyFill="1" applyBorder="1" applyAlignment="1" applyProtection="1">
      <protection locked="0"/>
    </xf>
    <xf numFmtId="0" fontId="44" fillId="13" borderId="0" xfId="2" applyFont="1" applyFill="1" applyAlignment="1" applyProtection="1">
      <alignment horizontal="left"/>
      <protection locked="0"/>
    </xf>
    <xf numFmtId="0" fontId="44" fillId="13" borderId="0" xfId="2" applyFont="1" applyFill="1" applyBorder="1" applyAlignment="1" applyProtection="1">
      <alignment horizontal="left"/>
      <protection locked="0"/>
    </xf>
    <xf numFmtId="0" fontId="5" fillId="16" borderId="0" xfId="198" applyFont="1" applyFill="1" applyBorder="1" applyProtection="1">
      <protection locked="0"/>
    </xf>
    <xf numFmtId="0" fontId="1" fillId="14" borderId="0" xfId="198" applyFont="1" applyFill="1" applyProtection="1">
      <protection hidden="1"/>
    </xf>
    <xf numFmtId="0" fontId="5" fillId="0" borderId="0" xfId="7" applyAlignment="1" applyProtection="1">
      <alignment horizontal="center"/>
      <protection hidden="1"/>
    </xf>
    <xf numFmtId="169" fontId="5" fillId="0" borderId="0" xfId="7" applyNumberFormat="1" applyProtection="1">
      <protection hidden="1"/>
    </xf>
    <xf numFmtId="1" fontId="5" fillId="0" borderId="0" xfId="7" applyNumberFormat="1" applyProtection="1">
      <protection hidden="1"/>
    </xf>
    <xf numFmtId="49" fontId="5" fillId="0" borderId="0" xfId="7" applyNumberFormat="1" applyProtection="1">
      <protection hidden="1"/>
    </xf>
    <xf numFmtId="0" fontId="5" fillId="0" borderId="197" xfId="6" applyFont="1" applyBorder="1" applyProtection="1">
      <protection hidden="1"/>
    </xf>
    <xf numFmtId="0" fontId="32" fillId="0" borderId="198" xfId="6" applyFont="1" applyBorder="1" applyAlignment="1" applyProtection="1">
      <alignment horizontal="center"/>
      <protection hidden="1"/>
    </xf>
    <xf numFmtId="0" fontId="5" fillId="0" borderId="84" xfId="6" applyFont="1" applyBorder="1" applyProtection="1">
      <protection hidden="1"/>
    </xf>
    <xf numFmtId="1" fontId="104" fillId="0" borderId="58" xfId="6" applyNumberFormat="1" applyFont="1" applyBorder="1" applyAlignment="1" applyProtection="1">
      <alignment horizontal="center"/>
      <protection hidden="1"/>
    </xf>
    <xf numFmtId="1" fontId="106" fillId="0" borderId="58" xfId="6" applyNumberFormat="1" applyFont="1" applyBorder="1" applyAlignment="1" applyProtection="1">
      <alignment horizontal="center"/>
      <protection hidden="1"/>
    </xf>
    <xf numFmtId="1" fontId="106" fillId="0" borderId="38" xfId="6" applyNumberFormat="1" applyFont="1" applyBorder="1" applyAlignment="1" applyProtection="1">
      <alignment horizontal="center"/>
      <protection hidden="1"/>
    </xf>
    <xf numFmtId="0" fontId="174" fillId="4" borderId="0" xfId="2" applyFont="1" applyFill="1" applyProtection="1">
      <protection hidden="1"/>
    </xf>
    <xf numFmtId="0" fontId="0" fillId="0" borderId="87" xfId="0" applyBorder="1" applyAlignment="1" applyProtection="1">
      <alignment horizontal="center"/>
      <protection hidden="1"/>
    </xf>
    <xf numFmtId="0" fontId="0" fillId="0" borderId="88" xfId="0" applyBorder="1" applyAlignment="1" applyProtection="1">
      <alignment horizontal="center"/>
      <protection hidden="1"/>
    </xf>
    <xf numFmtId="0" fontId="1" fillId="0" borderId="35" xfId="2" applyFont="1" applyBorder="1" applyProtection="1">
      <protection hidden="1"/>
    </xf>
    <xf numFmtId="0" fontId="1" fillId="4" borderId="266" xfId="2" applyFont="1" applyFill="1" applyBorder="1" applyProtection="1">
      <protection hidden="1"/>
    </xf>
    <xf numFmtId="0" fontId="1" fillId="4" borderId="0" xfId="2" applyFont="1" applyFill="1" applyAlignment="1" applyProtection="1">
      <protection hidden="1"/>
    </xf>
    <xf numFmtId="0" fontId="1" fillId="0" borderId="0" xfId="2" applyFont="1" applyBorder="1" applyProtection="1">
      <protection hidden="1"/>
    </xf>
    <xf numFmtId="0" fontId="1" fillId="4" borderId="11" xfId="2" applyFont="1" applyFill="1" applyBorder="1" applyProtection="1">
      <protection hidden="1"/>
    </xf>
    <xf numFmtId="0" fontId="1" fillId="0" borderId="25" xfId="2" applyFont="1" applyBorder="1" applyProtection="1">
      <protection hidden="1"/>
    </xf>
    <xf numFmtId="0" fontId="1" fillId="4" borderId="26" xfId="2" applyFont="1" applyFill="1" applyBorder="1" applyProtection="1">
      <protection hidden="1"/>
    </xf>
    <xf numFmtId="1" fontId="5" fillId="0" borderId="0" xfId="6" applyNumberFormat="1" applyFont="1" applyFill="1" applyAlignment="1" applyProtection="1">
      <alignment horizontal="center"/>
      <protection hidden="1"/>
    </xf>
    <xf numFmtId="0" fontId="1" fillId="0" borderId="148" xfId="6" applyFont="1" applyFill="1" applyBorder="1" applyProtection="1">
      <protection hidden="1"/>
    </xf>
    <xf numFmtId="0" fontId="5" fillId="0" borderId="301" xfId="6" applyFont="1" applyFill="1" applyBorder="1" applyAlignment="1" applyProtection="1">
      <alignment horizontal="center"/>
      <protection hidden="1"/>
    </xf>
    <xf numFmtId="0" fontId="5" fillId="0" borderId="302" xfId="6" applyFont="1" applyFill="1" applyBorder="1" applyAlignment="1" applyProtection="1">
      <alignment horizontal="center"/>
      <protection hidden="1"/>
    </xf>
    <xf numFmtId="0" fontId="5" fillId="0" borderId="0" xfId="6" applyFont="1" applyFill="1" applyBorder="1" applyAlignment="1" applyProtection="1">
      <alignment horizontal="center"/>
      <protection hidden="1"/>
    </xf>
    <xf numFmtId="1" fontId="5" fillId="0" borderId="302" xfId="6" applyNumberFormat="1" applyFont="1" applyFill="1" applyBorder="1" applyAlignment="1" applyProtection="1">
      <alignment horizontal="center"/>
      <protection hidden="1"/>
    </xf>
    <xf numFmtId="1" fontId="5" fillId="0" borderId="0" xfId="6" applyNumberFormat="1" applyFont="1" applyFill="1" applyBorder="1" applyAlignment="1" applyProtection="1">
      <alignment horizontal="center"/>
      <protection hidden="1"/>
    </xf>
    <xf numFmtId="0" fontId="5" fillId="0" borderId="148" xfId="6" applyFont="1" applyFill="1" applyBorder="1" applyAlignment="1" applyProtection="1">
      <alignment horizontal="center"/>
      <protection hidden="1"/>
    </xf>
    <xf numFmtId="1" fontId="5" fillId="0" borderId="148" xfId="6" applyNumberFormat="1" applyFont="1" applyFill="1" applyBorder="1" applyProtection="1">
      <protection hidden="1"/>
    </xf>
    <xf numFmtId="165" fontId="9" fillId="0" borderId="148" xfId="2" applyNumberFormat="1" applyFont="1" applyFill="1" applyBorder="1" applyAlignment="1" applyProtection="1">
      <alignment horizontal="left"/>
      <protection hidden="1"/>
    </xf>
    <xf numFmtId="165" fontId="9" fillId="0" borderId="189" xfId="2" applyNumberFormat="1" applyFont="1" applyFill="1" applyBorder="1" applyAlignment="1" applyProtection="1">
      <alignment horizontal="left"/>
      <protection hidden="1"/>
    </xf>
    <xf numFmtId="0" fontId="44" fillId="0" borderId="0" xfId="6" applyFont="1" applyFill="1" applyProtection="1">
      <protection hidden="1"/>
    </xf>
    <xf numFmtId="165" fontId="9" fillId="0" borderId="10" xfId="2" applyNumberFormat="1" applyFont="1" applyFill="1" applyBorder="1" applyAlignment="1" applyProtection="1">
      <alignment horizontal="left"/>
      <protection hidden="1"/>
    </xf>
    <xf numFmtId="0" fontId="108" fillId="0" borderId="10" xfId="6" applyFont="1" applyFill="1" applyBorder="1" applyProtection="1">
      <protection hidden="1"/>
    </xf>
    <xf numFmtId="1" fontId="9" fillId="0" borderId="0" xfId="6" applyNumberFormat="1" applyFont="1" applyFill="1" applyProtection="1">
      <protection hidden="1"/>
    </xf>
    <xf numFmtId="0" fontId="9" fillId="0" borderId="0" xfId="6" applyFont="1" applyFill="1" applyProtection="1">
      <protection hidden="1"/>
    </xf>
    <xf numFmtId="0" fontId="15" fillId="0" borderId="0" xfId="3" applyFont="1" applyFill="1" applyAlignment="1" applyProtection="1">
      <alignment vertical="top"/>
      <protection hidden="1"/>
    </xf>
    <xf numFmtId="0" fontId="14" fillId="4" borderId="292" xfId="6" applyFont="1" applyFill="1" applyBorder="1" applyAlignment="1" applyProtection="1">
      <alignment horizontal="left"/>
      <protection hidden="1"/>
    </xf>
    <xf numFmtId="0" fontId="5" fillId="4" borderId="0" xfId="2" applyFill="1" applyBorder="1" applyAlignment="1" applyProtection="1">
      <alignment vertical="top" wrapText="1"/>
      <protection hidden="1"/>
    </xf>
    <xf numFmtId="0" fontId="5" fillId="2" borderId="0" xfId="2" applyFill="1" applyBorder="1" applyAlignment="1" applyProtection="1">
      <alignment horizontal="center"/>
      <protection hidden="1"/>
    </xf>
    <xf numFmtId="0" fontId="5" fillId="4" borderId="0" xfId="6" applyFont="1" applyFill="1" applyAlignment="1" applyProtection="1">
      <alignment vertical="top" wrapText="1"/>
      <protection hidden="1"/>
    </xf>
    <xf numFmtId="0" fontId="246" fillId="14" borderId="0" xfId="2" applyFont="1" applyFill="1" applyAlignment="1" applyProtection="1">
      <protection hidden="1"/>
    </xf>
    <xf numFmtId="0" fontId="14" fillId="10" borderId="0" xfId="6" applyFont="1" applyFill="1" applyBorder="1" applyAlignment="1" applyProtection="1">
      <alignment horizontal="left"/>
      <protection hidden="1"/>
    </xf>
    <xf numFmtId="0" fontId="94" fillId="0" borderId="0" xfId="2" applyFont="1" applyAlignment="1" applyProtection="1">
      <alignment horizontal="center" vertical="center" wrapText="1"/>
      <protection hidden="1"/>
    </xf>
    <xf numFmtId="0" fontId="94" fillId="0" borderId="301" xfId="2" applyFont="1" applyBorder="1" applyAlignment="1" applyProtection="1">
      <alignment horizontal="center" vertical="center" wrapText="1"/>
      <protection hidden="1"/>
    </xf>
    <xf numFmtId="0" fontId="5" fillId="0" borderId="0" xfId="198" applyFont="1" applyBorder="1" applyAlignment="1" applyProtection="1">
      <alignment horizontal="left"/>
      <protection hidden="1"/>
    </xf>
    <xf numFmtId="0" fontId="56" fillId="0" borderId="0" xfId="2" applyFont="1" applyBorder="1" applyAlignment="1" applyProtection="1">
      <alignment horizontal="left"/>
      <protection hidden="1"/>
    </xf>
    <xf numFmtId="0" fontId="155" fillId="15" borderId="260" xfId="6" applyFont="1" applyFill="1" applyBorder="1" applyAlignment="1" applyProtection="1">
      <alignment horizontal="center"/>
      <protection locked="0"/>
    </xf>
    <xf numFmtId="0" fontId="1" fillId="4" borderId="0" xfId="6" applyFont="1" applyFill="1" applyBorder="1" applyAlignment="1" applyProtection="1">
      <protection hidden="1"/>
    </xf>
    <xf numFmtId="0" fontId="5" fillId="4" borderId="0" xfId="6" applyFont="1" applyFill="1" applyBorder="1" applyProtection="1">
      <protection hidden="1"/>
    </xf>
    <xf numFmtId="0" fontId="44" fillId="47" borderId="0" xfId="198" applyFont="1" applyFill="1" applyBorder="1" applyAlignment="1" applyProtection="1">
      <alignment horizontal="center"/>
      <protection hidden="1"/>
    </xf>
    <xf numFmtId="0" fontId="5" fillId="4" borderId="0" xfId="413" applyFont="1" applyFill="1" applyBorder="1" applyAlignment="1" applyProtection="1">
      <protection hidden="1"/>
    </xf>
    <xf numFmtId="0" fontId="27" fillId="4" borderId="0" xfId="3" applyFont="1" applyFill="1" applyBorder="1" applyAlignment="1" applyProtection="1">
      <alignment horizontal="left"/>
      <protection hidden="1"/>
    </xf>
    <xf numFmtId="0" fontId="1" fillId="0" borderId="494" xfId="198" applyFont="1" applyBorder="1"/>
    <xf numFmtId="0" fontId="8" fillId="0" borderId="302" xfId="2" applyFont="1" applyBorder="1" applyProtection="1">
      <protection hidden="1"/>
    </xf>
    <xf numFmtId="0" fontId="8" fillId="0" borderId="301" xfId="2" applyFont="1" applyBorder="1" applyProtection="1">
      <protection hidden="1"/>
    </xf>
    <xf numFmtId="0" fontId="5" fillId="0" borderId="640" xfId="411" applyFont="1" applyFill="1" applyBorder="1" applyProtection="1">
      <protection hidden="1"/>
    </xf>
    <xf numFmtId="0" fontId="5" fillId="0" borderId="628" xfId="2" applyBorder="1" applyProtection="1">
      <protection locked="0"/>
    </xf>
    <xf numFmtId="0" fontId="5" fillId="3" borderId="628" xfId="2" applyFill="1" applyBorder="1" applyAlignment="1" applyProtection="1">
      <alignment horizontal="left" wrapText="1"/>
      <protection locked="0"/>
    </xf>
    <xf numFmtId="0" fontId="5" fillId="0" borderId="628" xfId="198" applyFont="1" applyBorder="1" applyAlignment="1" applyProtection="1">
      <alignment horizontal="center"/>
      <protection locked="0"/>
    </xf>
    <xf numFmtId="49" fontId="9" fillId="0" borderId="628" xfId="2" applyNumberFormat="1" applyFont="1" applyBorder="1" applyAlignment="1" applyProtection="1">
      <alignment horizontal="center"/>
      <protection locked="0"/>
    </xf>
    <xf numFmtId="0" fontId="42" fillId="0" borderId="628" xfId="2" applyFont="1" applyBorder="1" applyAlignment="1" applyProtection="1">
      <alignment horizontal="center"/>
      <protection locked="0"/>
    </xf>
    <xf numFmtId="0" fontId="1" fillId="2" borderId="0" xfId="6" applyFont="1" applyFill="1" applyAlignment="1" applyProtection="1">
      <alignment horizontal="left"/>
      <protection hidden="1"/>
    </xf>
    <xf numFmtId="0" fontId="56" fillId="0" borderId="0" xfId="1" applyFont="1" applyBorder="1" applyAlignment="1" applyProtection="1">
      <alignment horizontal="center"/>
      <protection hidden="1"/>
    </xf>
    <xf numFmtId="0" fontId="56" fillId="0" borderId="0" xfId="1" applyFont="1" applyBorder="1" applyAlignment="1" applyProtection="1">
      <alignment horizontal="center"/>
      <protection locked="0"/>
    </xf>
    <xf numFmtId="1" fontId="42" fillId="0" borderId="0" xfId="2" applyNumberFormat="1" applyFont="1" applyBorder="1" applyAlignment="1" applyProtection="1">
      <alignment horizontal="center"/>
      <protection locked="0"/>
    </xf>
    <xf numFmtId="0" fontId="5" fillId="0" borderId="0" xfId="198" applyFont="1" applyBorder="1"/>
    <xf numFmtId="0" fontId="5" fillId="0" borderId="0" xfId="2" applyFont="1" applyBorder="1" applyProtection="1">
      <protection locked="0"/>
    </xf>
    <xf numFmtId="1" fontId="42" fillId="0" borderId="0" xfId="2" applyNumberFormat="1" applyFont="1" applyBorder="1" applyAlignment="1" applyProtection="1">
      <alignment vertical="top" wrapText="1"/>
      <protection locked="0"/>
    </xf>
    <xf numFmtId="0" fontId="56" fillId="0" borderId="0" xfId="1" applyFont="1" applyBorder="1" applyAlignment="1" applyProtection="1">
      <alignment horizontal="left"/>
      <protection hidden="1"/>
    </xf>
    <xf numFmtId="0" fontId="56" fillId="0" borderId="0" xfId="2" applyFont="1" applyBorder="1" applyAlignment="1" applyProtection="1">
      <alignment horizontal="center"/>
      <protection locked="0"/>
    </xf>
    <xf numFmtId="0" fontId="56" fillId="0" borderId="0" xfId="1" applyFont="1" applyFill="1" applyBorder="1" applyAlignment="1" applyProtection="1">
      <alignment horizontal="center"/>
      <protection locked="0"/>
    </xf>
    <xf numFmtId="0" fontId="5" fillId="0" borderId="0" xfId="2" applyFont="1" applyFill="1" applyBorder="1" applyProtection="1">
      <protection locked="0"/>
    </xf>
    <xf numFmtId="0" fontId="5" fillId="0" borderId="0" xfId="2" applyFont="1" applyFill="1" applyBorder="1" applyProtection="1">
      <protection hidden="1"/>
    </xf>
    <xf numFmtId="0" fontId="1" fillId="4" borderId="0" xfId="198" applyFont="1" applyFill="1"/>
    <xf numFmtId="0" fontId="1" fillId="2" borderId="0" xfId="198" applyFont="1" applyFill="1"/>
    <xf numFmtId="0" fontId="1" fillId="2" borderId="0" xfId="198" applyFont="1" applyFill="1" applyProtection="1">
      <protection hidden="1"/>
    </xf>
    <xf numFmtId="0" fontId="5" fillId="4" borderId="0" xfId="198" applyFont="1" applyFill="1" applyProtection="1">
      <protection locked="0" hidden="1"/>
    </xf>
    <xf numFmtId="0" fontId="72" fillId="4" borderId="0" xfId="198" applyFont="1" applyFill="1" applyAlignment="1" applyProtection="1">
      <alignment horizontal="center"/>
      <protection locked="0" hidden="1"/>
    </xf>
    <xf numFmtId="0" fontId="47" fillId="2" borderId="0" xfId="198" applyFont="1" applyFill="1" applyAlignment="1" applyProtection="1">
      <alignment horizontal="center"/>
      <protection hidden="1"/>
    </xf>
    <xf numFmtId="0" fontId="1" fillId="0" borderId="641" xfId="2" applyFont="1" applyBorder="1"/>
    <xf numFmtId="0" fontId="1" fillId="0" borderId="0" xfId="2" applyFont="1" applyBorder="1"/>
    <xf numFmtId="0" fontId="1" fillId="0" borderId="494" xfId="2" applyFont="1" applyBorder="1"/>
    <xf numFmtId="0" fontId="5" fillId="5" borderId="602" xfId="2" applyFill="1" applyBorder="1" applyProtection="1">
      <protection locked="0"/>
    </xf>
    <xf numFmtId="0" fontId="1" fillId="0" borderId="602" xfId="198" applyFont="1" applyBorder="1"/>
    <xf numFmtId="0" fontId="1" fillId="0" borderId="592" xfId="198" applyFont="1" applyBorder="1"/>
    <xf numFmtId="1" fontId="5" fillId="85" borderId="124" xfId="6" applyNumberFormat="1" applyFont="1" applyFill="1" applyBorder="1" applyProtection="1">
      <protection hidden="1"/>
    </xf>
    <xf numFmtId="1" fontId="5" fillId="86" borderId="124" xfId="6" applyNumberFormat="1" applyFont="1" applyFill="1" applyBorder="1" applyProtection="1">
      <protection hidden="1"/>
    </xf>
    <xf numFmtId="1" fontId="5" fillId="86" borderId="0" xfId="6" applyNumberFormat="1" applyFont="1" applyFill="1" applyProtection="1">
      <protection hidden="1"/>
    </xf>
    <xf numFmtId="0" fontId="5" fillId="0" borderId="278" xfId="6" applyFont="1" applyFill="1" applyBorder="1" applyProtection="1">
      <protection hidden="1"/>
    </xf>
    <xf numFmtId="164" fontId="5" fillId="0" borderId="0" xfId="6" applyNumberFormat="1" applyFont="1" applyFill="1" applyProtection="1">
      <protection hidden="1"/>
    </xf>
    <xf numFmtId="0" fontId="44" fillId="0" borderId="10" xfId="6" applyFont="1" applyBorder="1" applyProtection="1">
      <protection hidden="1"/>
    </xf>
    <xf numFmtId="0" fontId="5" fillId="10" borderId="630" xfId="2" applyFont="1" applyFill="1" applyBorder="1" applyAlignment="1" applyProtection="1">
      <alignment horizontal="center"/>
      <protection hidden="1"/>
    </xf>
    <xf numFmtId="166" fontId="5" fillId="10" borderId="628" xfId="2" applyNumberFormat="1" applyFont="1" applyFill="1" applyBorder="1" applyAlignment="1" applyProtection="1">
      <alignment horizontal="center"/>
      <protection hidden="1"/>
    </xf>
    <xf numFmtId="0" fontId="5" fillId="13" borderId="628" xfId="2" applyNumberFormat="1" applyFont="1" applyFill="1" applyBorder="1" applyAlignment="1" applyProtection="1">
      <alignment horizontal="center"/>
      <protection locked="0"/>
    </xf>
    <xf numFmtId="166" fontId="5" fillId="4" borderId="630" xfId="2" applyNumberFormat="1" applyFont="1" applyFill="1" applyBorder="1" applyAlignment="1" applyProtection="1">
      <alignment horizontal="center"/>
      <protection hidden="1"/>
    </xf>
    <xf numFmtId="0" fontId="178" fillId="2" borderId="0" xfId="6" applyFont="1" applyFill="1" applyBorder="1" applyAlignment="1" applyProtection="1">
      <alignment horizontal="center"/>
      <protection hidden="1"/>
    </xf>
    <xf numFmtId="0" fontId="47" fillId="2" borderId="0" xfId="6" applyFont="1" applyFill="1" applyBorder="1" applyAlignment="1" applyProtection="1">
      <alignment horizontal="center" vertical="top"/>
      <protection hidden="1"/>
    </xf>
    <xf numFmtId="0" fontId="5" fillId="0" borderId="30" xfId="6" applyFont="1" applyBorder="1" applyAlignment="1" applyProtection="1">
      <alignment horizontal="left" wrapText="1"/>
      <protection hidden="1"/>
    </xf>
    <xf numFmtId="0" fontId="15" fillId="4" borderId="0" xfId="3" applyFont="1" applyFill="1" applyBorder="1" applyAlignment="1" applyProtection="1">
      <protection hidden="1"/>
    </xf>
    <xf numFmtId="0" fontId="21" fillId="2" borderId="0" xfId="288" applyFont="1" applyFill="1" applyBorder="1" applyAlignment="1" applyProtection="1">
      <protection hidden="1"/>
    </xf>
    <xf numFmtId="0" fontId="107" fillId="4" borderId="0" xfId="6" applyFont="1" applyFill="1" applyAlignment="1" applyProtection="1">
      <protection hidden="1"/>
    </xf>
    <xf numFmtId="0" fontId="5" fillId="14" borderId="77" xfId="2" applyFill="1" applyBorder="1" applyAlignment="1" applyProtection="1">
      <protection hidden="1"/>
    </xf>
    <xf numFmtId="0" fontId="26" fillId="4" borderId="302" xfId="2" applyFont="1" applyFill="1" applyBorder="1" applyAlignment="1" applyProtection="1">
      <alignment horizontal="left" vertical="center"/>
      <protection hidden="1"/>
    </xf>
    <xf numFmtId="164" fontId="5" fillId="2" borderId="331" xfId="6" applyNumberFormat="1" applyFont="1" applyFill="1" applyBorder="1" applyAlignment="1" applyProtection="1">
      <protection hidden="1"/>
    </xf>
    <xf numFmtId="0" fontId="61" fillId="2" borderId="0" xfId="2" applyFont="1" applyFill="1" applyAlignment="1" applyProtection="1">
      <protection hidden="1"/>
    </xf>
    <xf numFmtId="0" fontId="61" fillId="2" borderId="0" xfId="2" applyFont="1" applyFill="1" applyAlignment="1" applyProtection="1">
      <alignment horizontal="center"/>
      <protection hidden="1"/>
    </xf>
    <xf numFmtId="0" fontId="32" fillId="2" borderId="0" xfId="2" applyFont="1" applyFill="1" applyBorder="1" applyAlignment="1" applyProtection="1">
      <protection hidden="1"/>
    </xf>
    <xf numFmtId="0" fontId="179" fillId="2" borderId="0" xfId="288" applyFont="1" applyFill="1" applyBorder="1" applyAlignment="1" applyProtection="1">
      <protection hidden="1"/>
    </xf>
    <xf numFmtId="0" fontId="1" fillId="4" borderId="301" xfId="6" applyFont="1" applyFill="1" applyBorder="1" applyProtection="1">
      <protection hidden="1"/>
    </xf>
    <xf numFmtId="0" fontId="52" fillId="3" borderId="263" xfId="198" applyFont="1" applyFill="1" applyBorder="1" applyAlignment="1" applyProtection="1">
      <alignment horizontal="left"/>
      <protection hidden="1"/>
    </xf>
    <xf numFmtId="0" fontId="52" fillId="3" borderId="263" xfId="198" applyFont="1" applyFill="1" applyBorder="1" applyAlignment="1" applyProtection="1">
      <alignment wrapText="1"/>
      <protection hidden="1"/>
    </xf>
    <xf numFmtId="0" fontId="5" fillId="14" borderId="645" xfId="2" applyFill="1" applyBorder="1" applyAlignment="1" applyProtection="1">
      <alignment horizontal="left"/>
      <protection hidden="1"/>
    </xf>
    <xf numFmtId="0" fontId="5" fillId="0" borderId="61" xfId="6" applyFont="1" applyBorder="1" applyProtection="1"/>
    <xf numFmtId="0" fontId="5" fillId="0" borderId="187" xfId="6" applyFont="1" applyBorder="1" applyAlignment="1" applyProtection="1">
      <alignment horizontal="center"/>
    </xf>
    <xf numFmtId="0" fontId="5" fillId="0" borderId="119" xfId="2" applyBorder="1" applyProtection="1"/>
    <xf numFmtId="0" fontId="5" fillId="0" borderId="135" xfId="2" applyBorder="1" applyAlignment="1" applyProtection="1">
      <alignment horizontal="center"/>
    </xf>
    <xf numFmtId="0" fontId="5" fillId="0" borderId="123" xfId="2" applyBorder="1" applyProtection="1"/>
    <xf numFmtId="0" fontId="5" fillId="0" borderId="136" xfId="2" applyBorder="1" applyAlignment="1" applyProtection="1">
      <alignment horizontal="center"/>
    </xf>
    <xf numFmtId="0" fontId="95" fillId="0" borderId="10" xfId="6" applyFont="1" applyBorder="1" applyProtection="1"/>
    <xf numFmtId="0" fontId="170" fillId="0" borderId="10" xfId="6" applyFont="1" applyBorder="1" applyProtection="1"/>
    <xf numFmtId="0" fontId="104" fillId="0" borderId="10" xfId="6" applyFont="1" applyBorder="1" applyProtection="1"/>
    <xf numFmtId="0" fontId="61" fillId="0" borderId="10" xfId="6" applyFont="1" applyBorder="1" applyProtection="1"/>
    <xf numFmtId="0" fontId="5" fillId="0" borderId="0" xfId="6" applyFont="1" applyProtection="1"/>
    <xf numFmtId="0" fontId="5" fillId="0" borderId="21" xfId="6" applyFont="1" applyBorder="1" applyProtection="1"/>
    <xf numFmtId="0" fontId="5" fillId="0" borderId="72" xfId="6" applyFont="1" applyBorder="1" applyProtection="1"/>
    <xf numFmtId="164" fontId="5" fillId="0" borderId="60" xfId="6" applyNumberFormat="1" applyFont="1" applyBorder="1" applyAlignment="1" applyProtection="1">
      <alignment horizontal="center"/>
    </xf>
    <xf numFmtId="0" fontId="5" fillId="0" borderId="84" xfId="6" applyFont="1" applyBorder="1" applyAlignment="1" applyProtection="1">
      <alignment horizontal="center"/>
    </xf>
    <xf numFmtId="0" fontId="176" fillId="0" borderId="154" xfId="6" applyFont="1" applyBorder="1" applyAlignment="1" applyProtection="1">
      <alignment horizontal="left"/>
    </xf>
    <xf numFmtId="0" fontId="170" fillId="0" borderId="154" xfId="6" applyFont="1" applyBorder="1" applyAlignment="1" applyProtection="1">
      <alignment horizontal="left"/>
    </xf>
    <xf numFmtId="0" fontId="104" fillId="0" borderId="154" xfId="6" applyFont="1" applyBorder="1" applyAlignment="1" applyProtection="1">
      <alignment horizontal="left"/>
    </xf>
    <xf numFmtId="0" fontId="106" fillId="0" borderId="154" xfId="6" applyFont="1" applyBorder="1" applyAlignment="1" applyProtection="1">
      <alignment horizontal="left"/>
    </xf>
    <xf numFmtId="0" fontId="15" fillId="0" borderId="0" xfId="3" applyFont="1" applyAlignment="1" applyProtection="1">
      <alignment vertical="top"/>
      <protection hidden="1"/>
    </xf>
    <xf numFmtId="0" fontId="5" fillId="10" borderId="124" xfId="2" applyNumberFormat="1" applyFont="1" applyFill="1" applyBorder="1" applyAlignment="1" applyProtection="1">
      <alignment horizontal="center" wrapText="1"/>
      <protection hidden="1"/>
    </xf>
    <xf numFmtId="0" fontId="5" fillId="13" borderId="124" xfId="2" applyNumberFormat="1" applyFont="1" applyFill="1" applyBorder="1" applyAlignment="1" applyProtection="1">
      <alignment horizontal="center"/>
      <protection locked="0"/>
    </xf>
    <xf numFmtId="0" fontId="147" fillId="0" borderId="0" xfId="6" applyFont="1" applyFill="1" applyAlignment="1" applyProtection="1">
      <alignment horizontal="center"/>
      <protection hidden="1"/>
    </xf>
    <xf numFmtId="0" fontId="27" fillId="4" borderId="0" xfId="6" applyFont="1" applyFill="1" applyBorder="1" applyAlignment="1" applyProtection="1">
      <alignment horizontal="left" vertical="top"/>
      <protection hidden="1"/>
    </xf>
    <xf numFmtId="0" fontId="154" fillId="5" borderId="205" xfId="0" applyFont="1" applyFill="1" applyBorder="1" applyAlignment="1" applyProtection="1">
      <alignment horizontal="center"/>
      <protection locked="0"/>
    </xf>
    <xf numFmtId="0" fontId="14" fillId="0" borderId="631" xfId="6" applyFont="1" applyBorder="1" applyProtection="1">
      <protection hidden="1"/>
    </xf>
    <xf numFmtId="1" fontId="5" fillId="4" borderId="193" xfId="6" applyNumberFormat="1" applyFont="1" applyFill="1" applyBorder="1" applyAlignment="1" applyProtection="1">
      <alignment horizontal="center"/>
      <protection hidden="1"/>
    </xf>
    <xf numFmtId="1" fontId="26" fillId="4" borderId="193" xfId="6" applyNumberFormat="1" applyFont="1" applyFill="1" applyBorder="1" applyAlignment="1" applyProtection="1">
      <alignment horizontal="center"/>
      <protection hidden="1"/>
    </xf>
    <xf numFmtId="164" fontId="5" fillId="4" borderId="193" xfId="6" applyNumberFormat="1" applyFont="1" applyFill="1" applyBorder="1" applyAlignment="1" applyProtection="1">
      <alignment horizontal="center"/>
      <protection hidden="1"/>
    </xf>
    <xf numFmtId="164" fontId="5" fillId="4" borderId="193" xfId="2" applyNumberFormat="1" applyFill="1" applyBorder="1" applyAlignment="1" applyProtection="1">
      <alignment horizontal="center"/>
      <protection hidden="1"/>
    </xf>
    <xf numFmtId="164" fontId="5" fillId="4" borderId="578" xfId="6" applyNumberFormat="1" applyFont="1" applyFill="1" applyBorder="1" applyAlignment="1" applyProtection="1">
      <alignment horizontal="center"/>
      <protection hidden="1"/>
    </xf>
    <xf numFmtId="0" fontId="44" fillId="47" borderId="628" xfId="198" applyFont="1" applyFill="1" applyBorder="1" applyAlignment="1" applyProtection="1">
      <alignment horizontal="center"/>
      <protection hidden="1"/>
    </xf>
    <xf numFmtId="0" fontId="27" fillId="4" borderId="0" xfId="6" applyFont="1" applyFill="1" applyBorder="1" applyAlignment="1" applyProtection="1">
      <protection hidden="1"/>
    </xf>
    <xf numFmtId="164" fontId="25" fillId="4" borderId="34" xfId="6" applyNumberFormat="1" applyFont="1" applyFill="1" applyBorder="1" applyAlignment="1" applyProtection="1">
      <alignment horizontal="center"/>
      <protection hidden="1"/>
    </xf>
    <xf numFmtId="164" fontId="25" fillId="4" borderId="24" xfId="6" applyNumberFormat="1" applyFont="1" applyFill="1" applyBorder="1" applyAlignment="1" applyProtection="1">
      <alignment horizontal="center"/>
      <protection hidden="1"/>
    </xf>
    <xf numFmtId="164" fontId="27" fillId="0" borderId="78" xfId="6" applyNumberFormat="1" applyFont="1" applyBorder="1" applyAlignment="1" applyProtection="1">
      <alignment horizontal="center"/>
      <protection hidden="1"/>
    </xf>
    <xf numFmtId="1" fontId="27" fillId="14" borderId="154" xfId="6" applyNumberFormat="1" applyFont="1" applyFill="1" applyBorder="1" applyAlignment="1" applyProtection="1">
      <alignment horizontal="center"/>
      <protection hidden="1"/>
    </xf>
    <xf numFmtId="164" fontId="27" fillId="4" borderId="227" xfId="6" applyNumberFormat="1" applyFont="1" applyFill="1" applyBorder="1" applyAlignment="1" applyProtection="1">
      <alignment horizontal="center"/>
      <protection hidden="1"/>
    </xf>
    <xf numFmtId="1" fontId="27" fillId="14" borderId="34" xfId="6" applyNumberFormat="1" applyFont="1" applyFill="1" applyBorder="1" applyAlignment="1" applyProtection="1">
      <alignment horizontal="center"/>
      <protection hidden="1"/>
    </xf>
    <xf numFmtId="0" fontId="27" fillId="0" borderId="303" xfId="6" applyFont="1" applyBorder="1" applyAlignment="1" applyProtection="1">
      <alignment horizontal="center"/>
      <protection hidden="1"/>
    </xf>
    <xf numFmtId="1" fontId="27" fillId="4" borderId="10" xfId="6" applyNumberFormat="1" applyFont="1" applyFill="1" applyBorder="1" applyAlignment="1" applyProtection="1">
      <alignment horizontal="center"/>
      <protection hidden="1"/>
    </xf>
    <xf numFmtId="1" fontId="138" fillId="3" borderId="611" xfId="6" applyNumberFormat="1" applyFont="1" applyFill="1" applyBorder="1" applyAlignment="1" applyProtection="1">
      <alignment horizontal="center"/>
      <protection hidden="1"/>
    </xf>
    <xf numFmtId="1" fontId="138" fillId="0" borderId="597" xfId="2" applyNumberFormat="1" applyFont="1" applyBorder="1" applyAlignment="1" applyProtection="1">
      <alignment horizontal="center"/>
      <protection hidden="1"/>
    </xf>
    <xf numFmtId="1" fontId="138" fillId="0" borderId="265" xfId="2" applyNumberFormat="1" applyFont="1" applyBorder="1" applyAlignment="1" applyProtection="1">
      <alignment horizontal="center"/>
      <protection hidden="1"/>
    </xf>
    <xf numFmtId="1" fontId="138" fillId="0" borderId="215" xfId="2" applyNumberFormat="1" applyFont="1" applyBorder="1" applyAlignment="1" applyProtection="1">
      <alignment horizontal="center"/>
      <protection hidden="1"/>
    </xf>
    <xf numFmtId="1" fontId="138" fillId="0" borderId="237" xfId="6" applyNumberFormat="1" applyFont="1" applyBorder="1" applyAlignment="1" applyProtection="1">
      <alignment horizontal="center"/>
      <protection hidden="1"/>
    </xf>
    <xf numFmtId="1" fontId="52" fillId="3" borderId="596" xfId="6" applyNumberFormat="1" applyFont="1" applyFill="1" applyBorder="1" applyAlignment="1" applyProtection="1">
      <alignment horizontal="center"/>
      <protection hidden="1"/>
    </xf>
    <xf numFmtId="0" fontId="152" fillId="0" borderId="58" xfId="3" applyFont="1" applyBorder="1" applyAlignment="1" applyProtection="1">
      <alignment horizontal="left"/>
      <protection hidden="1"/>
    </xf>
    <xf numFmtId="0" fontId="5" fillId="0" borderId="187" xfId="6" applyFont="1" applyBorder="1" applyAlignment="1" applyProtection="1">
      <alignment wrapText="1"/>
      <protection hidden="1"/>
    </xf>
    <xf numFmtId="0" fontId="5" fillId="0" borderId="647" xfId="3" applyFont="1" applyBorder="1" applyAlignment="1" applyProtection="1">
      <protection hidden="1"/>
    </xf>
    <xf numFmtId="0" fontId="26" fillId="5" borderId="648" xfId="6" applyFont="1" applyFill="1" applyBorder="1" applyAlignment="1" applyProtection="1">
      <alignment horizontal="center"/>
      <protection locked="0"/>
    </xf>
    <xf numFmtId="1" fontId="26" fillId="9" borderId="648" xfId="6" applyNumberFormat="1" applyFont="1" applyFill="1" applyBorder="1" applyAlignment="1" applyProtection="1">
      <alignment horizontal="center"/>
      <protection locked="0"/>
    </xf>
    <xf numFmtId="1" fontId="26" fillId="5" borderId="122" xfId="6" applyNumberFormat="1" applyFont="1" applyFill="1" applyBorder="1" applyAlignment="1" applyProtection="1">
      <alignment horizontal="center"/>
      <protection locked="0"/>
    </xf>
    <xf numFmtId="0" fontId="250" fillId="0" borderId="280" xfId="2" applyFont="1" applyBorder="1" applyAlignment="1" applyProtection="1">
      <alignment horizontal="left"/>
      <protection hidden="1"/>
    </xf>
    <xf numFmtId="1" fontId="250" fillId="3" borderId="633" xfId="6" applyNumberFormat="1" applyFont="1" applyFill="1" applyBorder="1" applyAlignment="1" applyProtection="1">
      <alignment horizontal="center"/>
      <protection hidden="1"/>
    </xf>
    <xf numFmtId="0" fontId="55" fillId="0" borderId="12" xfId="1" applyFont="1" applyFill="1" applyBorder="1" applyProtection="1"/>
    <xf numFmtId="0" fontId="55" fillId="0" borderId="12" xfId="1" applyFont="1" applyBorder="1" applyProtection="1"/>
    <xf numFmtId="0" fontId="55" fillId="0" borderId="63" xfId="1" applyFont="1" applyBorder="1" applyProtection="1"/>
    <xf numFmtId="0" fontId="51" fillId="0" borderId="12" xfId="1" applyFont="1" applyBorder="1" applyProtection="1"/>
    <xf numFmtId="0" fontId="51" fillId="0" borderId="68" xfId="1" applyFont="1" applyBorder="1" applyProtection="1"/>
    <xf numFmtId="0" fontId="51" fillId="0" borderId="69" xfId="1" applyFont="1" applyBorder="1" applyProtection="1"/>
    <xf numFmtId="0" fontId="55" fillId="0" borderId="68" xfId="1" applyFont="1" applyBorder="1" applyProtection="1"/>
    <xf numFmtId="0" fontId="36" fillId="0" borderId="12" xfId="1" applyFont="1" applyBorder="1" applyProtection="1"/>
    <xf numFmtId="0" fontId="36" fillId="0" borderId="46" xfId="1" applyFont="1" applyBorder="1" applyProtection="1"/>
    <xf numFmtId="0" fontId="61" fillId="0" borderId="0" xfId="1" applyFont="1" applyBorder="1" applyProtection="1"/>
    <xf numFmtId="0" fontId="95" fillId="0" borderId="119" xfId="2" applyFont="1" applyBorder="1" applyProtection="1"/>
    <xf numFmtId="0" fontId="36" fillId="0" borderId="123" xfId="2" applyFont="1" applyBorder="1" applyProtection="1"/>
    <xf numFmtId="0" fontId="95" fillId="0" borderId="123" xfId="2" applyFont="1" applyBorder="1" applyProtection="1"/>
    <xf numFmtId="0" fontId="103" fillId="0" borderId="123" xfId="2" applyFont="1" applyBorder="1" applyProtection="1"/>
    <xf numFmtId="0" fontId="104" fillId="0" borderId="123" xfId="2" applyFont="1" applyBorder="1" applyProtection="1"/>
    <xf numFmtId="1" fontId="106" fillId="0" borderId="123" xfId="2" applyNumberFormat="1" applyFont="1" applyBorder="1" applyProtection="1"/>
    <xf numFmtId="164" fontId="27" fillId="0" borderId="58" xfId="6" applyNumberFormat="1" applyFont="1" applyBorder="1" applyAlignment="1" applyProtection="1">
      <alignment horizontal="center"/>
      <protection hidden="1"/>
    </xf>
    <xf numFmtId="1" fontId="27" fillId="14" borderId="21" xfId="6" applyNumberFormat="1" applyFont="1" applyFill="1" applyBorder="1" applyAlignment="1" applyProtection="1">
      <alignment horizontal="center"/>
      <protection hidden="1"/>
    </xf>
    <xf numFmtId="164" fontId="27" fillId="0" borderId="61" xfId="6" applyNumberFormat="1" applyFont="1" applyBorder="1" applyAlignment="1" applyProtection="1">
      <alignment horizontal="center"/>
      <protection hidden="1"/>
    </xf>
    <xf numFmtId="1" fontId="27" fillId="14" borderId="148" xfId="6" applyNumberFormat="1" applyFont="1" applyFill="1" applyBorder="1" applyAlignment="1" applyProtection="1">
      <alignment horizontal="center"/>
      <protection hidden="1"/>
    </xf>
    <xf numFmtId="0" fontId="5" fillId="0" borderId="372" xfId="6" applyFont="1" applyBorder="1" applyProtection="1">
      <protection hidden="1"/>
    </xf>
    <xf numFmtId="0" fontId="56" fillId="0" borderId="372" xfId="6" applyFont="1" applyBorder="1" applyAlignment="1" applyProtection="1">
      <alignment horizontal="center"/>
      <protection hidden="1"/>
    </xf>
    <xf numFmtId="0" fontId="152" fillId="0" borderId="53" xfId="6" applyFont="1" applyBorder="1" applyAlignment="1" applyProtection="1">
      <alignment horizontal="center"/>
      <protection hidden="1"/>
    </xf>
    <xf numFmtId="0" fontId="5" fillId="14" borderId="40" xfId="2" applyFill="1" applyBorder="1" applyAlignment="1" applyProtection="1">
      <protection hidden="1"/>
    </xf>
    <xf numFmtId="0" fontId="5" fillId="4" borderId="0" xfId="2" applyFill="1" applyAlignment="1" applyProtection="1">
      <alignment wrapText="1"/>
      <protection hidden="1"/>
    </xf>
    <xf numFmtId="0" fontId="5" fillId="3" borderId="0" xfId="2" applyFont="1" applyFill="1" applyBorder="1" applyAlignment="1" applyProtection="1">
      <protection hidden="1"/>
    </xf>
    <xf numFmtId="164" fontId="5" fillId="4" borderId="630" xfId="2" applyNumberFormat="1" applyFont="1" applyFill="1" applyBorder="1" applyAlignment="1" applyProtection="1">
      <alignment horizontal="center"/>
      <protection hidden="1"/>
    </xf>
    <xf numFmtId="0" fontId="5" fillId="16" borderId="642" xfId="2" applyFill="1" applyBorder="1" applyProtection="1">
      <protection locked="0"/>
    </xf>
    <xf numFmtId="0" fontId="5" fillId="16" borderId="643" xfId="2" applyFill="1" applyBorder="1" applyAlignment="1" applyProtection="1">
      <alignment horizontal="left"/>
      <protection locked="0"/>
    </xf>
    <xf numFmtId="0" fontId="44" fillId="14" borderId="644" xfId="2" applyFont="1" applyFill="1" applyBorder="1" applyProtection="1">
      <protection hidden="1"/>
    </xf>
    <xf numFmtId="0" fontId="44" fillId="14" borderId="645" xfId="2" applyFont="1" applyFill="1" applyBorder="1" applyAlignment="1" applyProtection="1">
      <alignment horizontal="left"/>
      <protection hidden="1"/>
    </xf>
    <xf numFmtId="0" fontId="5" fillId="14" borderId="649" xfId="2" applyFill="1" applyBorder="1" applyAlignment="1" applyProtection="1">
      <alignment horizontal="left"/>
      <protection hidden="1"/>
    </xf>
    <xf numFmtId="0" fontId="5" fillId="14" borderId="650" xfId="2" applyFill="1" applyBorder="1" applyProtection="1">
      <protection hidden="1"/>
    </xf>
    <xf numFmtId="0" fontId="5" fillId="14" borderId="651" xfId="2" applyNumberFormat="1" applyFill="1" applyBorder="1" applyAlignment="1" applyProtection="1">
      <alignment horizontal="left"/>
      <protection hidden="1"/>
    </xf>
    <xf numFmtId="0" fontId="44" fillId="14" borderId="652" xfId="2" applyFont="1" applyFill="1" applyBorder="1" applyProtection="1">
      <protection hidden="1"/>
    </xf>
    <xf numFmtId="1" fontId="44" fillId="14" borderId="653" xfId="2" applyNumberFormat="1" applyFont="1" applyFill="1" applyBorder="1" applyAlignment="1" applyProtection="1">
      <alignment horizontal="left"/>
      <protection hidden="1"/>
    </xf>
    <xf numFmtId="0" fontId="1" fillId="0" borderId="0" xfId="198" applyFont="1" applyFill="1" applyProtection="1">
      <protection hidden="1"/>
    </xf>
    <xf numFmtId="0" fontId="20" fillId="0" borderId="0" xfId="198" applyFont="1" applyFill="1" applyProtection="1">
      <protection hidden="1"/>
    </xf>
    <xf numFmtId="0" fontId="9" fillId="0" borderId="0" xfId="2" applyFont="1" applyFill="1" applyAlignment="1" applyProtection="1">
      <protection hidden="1"/>
    </xf>
    <xf numFmtId="0" fontId="44" fillId="18" borderId="642" xfId="2" applyFont="1" applyFill="1" applyBorder="1" applyProtection="1">
      <protection locked="0"/>
    </xf>
    <xf numFmtId="0" fontId="44" fillId="18" borderId="643" xfId="2" applyFont="1" applyFill="1" applyBorder="1" applyAlignment="1" applyProtection="1">
      <alignment horizontal="left"/>
      <protection locked="0"/>
    </xf>
    <xf numFmtId="1" fontId="44" fillId="14" borderId="645" xfId="2" applyNumberFormat="1" applyFont="1" applyFill="1" applyBorder="1" applyAlignment="1" applyProtection="1">
      <alignment horizontal="left"/>
      <protection hidden="1"/>
    </xf>
    <xf numFmtId="0" fontId="44" fillId="14" borderId="650" xfId="2" applyFont="1" applyFill="1" applyBorder="1" applyProtection="1">
      <protection hidden="1"/>
    </xf>
    <xf numFmtId="0" fontId="5" fillId="2" borderId="0" xfId="1" applyFont="1" applyFill="1" applyProtection="1">
      <protection hidden="1"/>
    </xf>
    <xf numFmtId="0" fontId="59" fillId="4" borderId="602" xfId="198" applyFont="1" applyFill="1" applyBorder="1" applyAlignment="1" applyProtection="1">
      <protection hidden="1"/>
    </xf>
    <xf numFmtId="0" fontId="1" fillId="4" borderId="0" xfId="198" applyFont="1" applyFill="1" applyBorder="1" applyProtection="1">
      <protection hidden="1"/>
    </xf>
    <xf numFmtId="0" fontId="8" fillId="4" borderId="0" xfId="198" applyFont="1" applyFill="1" applyBorder="1" applyProtection="1">
      <protection hidden="1"/>
    </xf>
    <xf numFmtId="0" fontId="71" fillId="2" borderId="0" xfId="2" applyFont="1" applyFill="1" applyBorder="1" applyAlignment="1" applyProtection="1">
      <protection hidden="1"/>
    </xf>
    <xf numFmtId="0" fontId="5" fillId="2" borderId="0" xfId="2" applyFill="1" applyBorder="1" applyAlignment="1" applyProtection="1">
      <alignment vertical="top" wrapText="1"/>
      <protection hidden="1"/>
    </xf>
    <xf numFmtId="0" fontId="1" fillId="2" borderId="0" xfId="2" applyFont="1" applyFill="1" applyBorder="1" applyAlignment="1" applyProtection="1">
      <alignment wrapText="1"/>
      <protection hidden="1"/>
    </xf>
    <xf numFmtId="0" fontId="47" fillId="2" borderId="0" xfId="1" applyFont="1" applyFill="1" applyBorder="1" applyAlignment="1" applyProtection="1">
      <alignment vertical="top" wrapText="1"/>
      <protection hidden="1"/>
    </xf>
    <xf numFmtId="0" fontId="1" fillId="2" borderId="0" xfId="1" applyFill="1" applyBorder="1" applyAlignment="1" applyProtection="1">
      <alignment vertical="top" wrapText="1"/>
      <protection hidden="1"/>
    </xf>
    <xf numFmtId="1" fontId="5" fillId="2" borderId="0" xfId="2" applyNumberFormat="1" applyFill="1" applyBorder="1" applyAlignment="1" applyProtection="1">
      <alignment horizontal="left"/>
      <protection hidden="1"/>
    </xf>
    <xf numFmtId="0" fontId="47" fillId="2" borderId="0" xfId="1" applyFont="1" applyFill="1" applyBorder="1" applyAlignment="1" applyProtection="1">
      <alignment horizontal="right" vertical="top"/>
      <protection hidden="1"/>
    </xf>
    <xf numFmtId="0" fontId="47" fillId="3" borderId="0" xfId="1" applyFont="1" applyFill="1" applyBorder="1" applyAlignment="1" applyProtection="1">
      <alignment vertical="top"/>
      <protection hidden="1"/>
    </xf>
    <xf numFmtId="0" fontId="1" fillId="3" borderId="0" xfId="1" applyFill="1" applyBorder="1" applyAlignment="1" applyProtection="1">
      <alignment vertical="top"/>
      <protection hidden="1"/>
    </xf>
    <xf numFmtId="0" fontId="1" fillId="3" borderId="0" xfId="2" applyFont="1" applyFill="1" applyBorder="1" applyAlignment="1" applyProtection="1">
      <alignment horizontal="left"/>
      <protection hidden="1"/>
    </xf>
    <xf numFmtId="0" fontId="41" fillId="4" borderId="0" xfId="2" applyFont="1" applyFill="1" applyBorder="1" applyAlignment="1" applyProtection="1">
      <protection hidden="1"/>
    </xf>
    <xf numFmtId="0" fontId="5" fillId="4" borderId="0" xfId="2" applyFill="1" applyBorder="1" applyAlignment="1" applyProtection="1">
      <protection hidden="1"/>
    </xf>
    <xf numFmtId="0" fontId="5" fillId="16" borderId="572" xfId="2" applyFill="1" applyBorder="1" applyAlignment="1" applyProtection="1">
      <alignment horizontal="left"/>
      <protection locked="0"/>
    </xf>
    <xf numFmtId="1" fontId="5" fillId="14" borderId="301" xfId="2" applyNumberFormat="1" applyFill="1" applyBorder="1" applyAlignment="1" applyProtection="1">
      <alignment horizontal="left"/>
      <protection hidden="1"/>
    </xf>
    <xf numFmtId="0" fontId="296" fillId="4" borderId="0" xfId="424" applyFont="1" applyFill="1" applyBorder="1" applyAlignment="1" applyProtection="1">
      <alignment wrapText="1"/>
      <protection hidden="1"/>
    </xf>
    <xf numFmtId="0" fontId="5" fillId="4" borderId="0" xfId="424" applyFill="1" applyBorder="1" applyProtection="1">
      <protection hidden="1"/>
    </xf>
    <xf numFmtId="2" fontId="1" fillId="0" borderId="628" xfId="424" applyNumberFormat="1" applyFont="1" applyBorder="1" applyAlignment="1" applyProtection="1">
      <alignment horizontal="center"/>
      <protection hidden="1"/>
    </xf>
    <xf numFmtId="166" fontId="1" fillId="0" borderId="628" xfId="424" applyNumberFormat="1" applyFont="1" applyBorder="1" applyAlignment="1" applyProtection="1">
      <alignment horizontal="center"/>
      <protection hidden="1"/>
    </xf>
    <xf numFmtId="166" fontId="1" fillId="0" borderId="628" xfId="429" applyNumberFormat="1" applyFont="1" applyBorder="1" applyAlignment="1" applyProtection="1">
      <alignment horizontal="center"/>
      <protection hidden="1"/>
    </xf>
    <xf numFmtId="2" fontId="1" fillId="5" borderId="628" xfId="424" applyNumberFormat="1" applyFont="1" applyFill="1" applyBorder="1" applyAlignment="1" applyProtection="1">
      <alignment horizontal="center"/>
      <protection locked="0"/>
    </xf>
    <xf numFmtId="164" fontId="222" fillId="4" borderId="628" xfId="429" applyNumberFormat="1" applyFont="1" applyFill="1" applyBorder="1" applyAlignment="1" applyProtection="1">
      <alignment horizontal="center"/>
      <protection hidden="1"/>
    </xf>
    <xf numFmtId="0" fontId="98" fillId="0" borderId="329" xfId="6" applyFont="1" applyBorder="1" applyProtection="1">
      <protection hidden="1"/>
    </xf>
    <xf numFmtId="0" fontId="1" fillId="5" borderId="574" xfId="411" applyFill="1" applyBorder="1" applyAlignment="1" applyProtection="1">
      <alignment horizontal="left" wrapText="1"/>
      <protection locked="0"/>
    </xf>
    <xf numFmtId="0" fontId="5" fillId="14" borderId="657" xfId="2" applyFill="1" applyBorder="1" applyProtection="1">
      <protection hidden="1"/>
    </xf>
    <xf numFmtId="0" fontId="5" fillId="0" borderId="656" xfId="411" applyFont="1" applyFill="1" applyBorder="1" applyProtection="1">
      <protection hidden="1"/>
    </xf>
    <xf numFmtId="166" fontId="5" fillId="0" borderId="656" xfId="412" applyNumberFormat="1" applyFont="1" applyFill="1" applyBorder="1" applyProtection="1">
      <protection hidden="1"/>
    </xf>
    <xf numFmtId="166" fontId="5" fillId="0" borderId="640" xfId="412" applyNumberFormat="1" applyFont="1" applyFill="1" applyBorder="1" applyProtection="1">
      <protection hidden="1"/>
    </xf>
    <xf numFmtId="166" fontId="44" fillId="0" borderId="640" xfId="412" applyNumberFormat="1" applyFont="1" applyFill="1" applyBorder="1" applyProtection="1">
      <protection hidden="1"/>
    </xf>
    <xf numFmtId="0" fontId="5" fillId="0" borderId="469" xfId="411" applyFont="1" applyFill="1" applyBorder="1" applyProtection="1">
      <protection hidden="1"/>
    </xf>
    <xf numFmtId="166" fontId="5" fillId="0" borderId="469" xfId="412" applyNumberFormat="1" applyFont="1" applyFill="1" applyBorder="1" applyProtection="1">
      <protection hidden="1"/>
    </xf>
    <xf numFmtId="0" fontId="44" fillId="14" borderId="658" xfId="2" applyFont="1" applyFill="1" applyBorder="1" applyProtection="1">
      <protection hidden="1"/>
    </xf>
    <xf numFmtId="1" fontId="44" fillId="0" borderId="122" xfId="2" applyNumberFormat="1" applyFont="1" applyFill="1" applyBorder="1" applyAlignment="1" applyProtection="1">
      <alignment horizontal="left"/>
      <protection hidden="1"/>
    </xf>
    <xf numFmtId="0" fontId="5" fillId="4" borderId="657" xfId="2" applyFont="1" applyFill="1" applyBorder="1" applyProtection="1">
      <protection hidden="1"/>
    </xf>
    <xf numFmtId="0" fontId="5" fillId="4" borderId="77" xfId="2" applyFont="1" applyFill="1" applyBorder="1" applyAlignment="1" applyProtection="1">
      <protection hidden="1"/>
    </xf>
    <xf numFmtId="0" fontId="44" fillId="16" borderId="652" xfId="2" applyFont="1" applyFill="1" applyBorder="1" applyProtection="1">
      <protection locked="0"/>
    </xf>
    <xf numFmtId="0" fontId="44" fillId="16" borderId="653" xfId="2" applyFont="1" applyFill="1" applyBorder="1" applyAlignment="1" applyProtection="1">
      <alignment horizontal="left"/>
      <protection locked="0"/>
    </xf>
    <xf numFmtId="0" fontId="44" fillId="14" borderId="659" xfId="2" applyFont="1" applyFill="1" applyBorder="1" applyProtection="1">
      <protection hidden="1"/>
    </xf>
    <xf numFmtId="1" fontId="44" fillId="14" borderId="660" xfId="2" applyNumberFormat="1" applyFont="1" applyFill="1" applyBorder="1" applyAlignment="1" applyProtection="1">
      <alignment horizontal="left"/>
      <protection hidden="1"/>
    </xf>
    <xf numFmtId="0" fontId="5" fillId="14" borderId="658" xfId="2" applyFill="1" applyBorder="1" applyProtection="1">
      <protection hidden="1"/>
    </xf>
    <xf numFmtId="0" fontId="5" fillId="18" borderId="661" xfId="2" applyFill="1" applyBorder="1" applyAlignment="1" applyProtection="1">
      <alignment horizontal="left"/>
      <protection locked="0"/>
    </xf>
    <xf numFmtId="0" fontId="5" fillId="16" borderId="662" xfId="2" applyFill="1" applyBorder="1" applyProtection="1">
      <protection locked="0"/>
    </xf>
    <xf numFmtId="0" fontId="5" fillId="14" borderId="663" xfId="2" applyFill="1" applyBorder="1" applyAlignment="1" applyProtection="1">
      <alignment horizontal="left"/>
      <protection hidden="1"/>
    </xf>
    <xf numFmtId="0" fontId="5" fillId="14" borderId="664" xfId="2" applyFill="1" applyBorder="1" applyProtection="1">
      <protection hidden="1"/>
    </xf>
    <xf numFmtId="0" fontId="44" fillId="14" borderId="663" xfId="2" applyFont="1" applyFill="1" applyBorder="1" applyAlignment="1" applyProtection="1">
      <alignment horizontal="left"/>
      <protection hidden="1"/>
    </xf>
    <xf numFmtId="0" fontId="44" fillId="14" borderId="664" xfId="2" applyFont="1" applyFill="1" applyBorder="1" applyProtection="1">
      <protection hidden="1"/>
    </xf>
    <xf numFmtId="0" fontId="5" fillId="14" borderId="665" xfId="2" applyFill="1" applyBorder="1" applyAlignment="1" applyProtection="1">
      <alignment horizontal="left"/>
      <protection hidden="1"/>
    </xf>
    <xf numFmtId="0" fontId="5" fillId="14" borderId="666" xfId="2" applyFill="1" applyBorder="1" applyProtection="1">
      <protection hidden="1"/>
    </xf>
    <xf numFmtId="1" fontId="5" fillId="14" borderId="667" xfId="2" applyNumberFormat="1" applyFill="1" applyBorder="1" applyAlignment="1" applyProtection="1">
      <alignment horizontal="left"/>
      <protection hidden="1"/>
    </xf>
    <xf numFmtId="0" fontId="5" fillId="14" borderId="668" xfId="2" applyFill="1" applyBorder="1" applyProtection="1">
      <protection hidden="1"/>
    </xf>
    <xf numFmtId="1" fontId="44" fillId="14" borderId="669" xfId="2" applyNumberFormat="1" applyFont="1" applyFill="1" applyBorder="1" applyAlignment="1" applyProtection="1">
      <alignment horizontal="left"/>
      <protection hidden="1"/>
    </xf>
    <xf numFmtId="0" fontId="44" fillId="14" borderId="670" xfId="2" applyFont="1" applyFill="1" applyBorder="1" applyProtection="1">
      <protection hidden="1"/>
    </xf>
    <xf numFmtId="0" fontId="1" fillId="4" borderId="494" xfId="6" applyFont="1" applyFill="1" applyBorder="1" applyAlignment="1" applyProtection="1">
      <alignment horizontal="right"/>
      <protection hidden="1"/>
    </xf>
    <xf numFmtId="0" fontId="5" fillId="14" borderId="671" xfId="2" applyFill="1" applyBorder="1" applyAlignment="1" applyProtection="1">
      <alignment horizontal="right"/>
      <protection hidden="1"/>
    </xf>
    <xf numFmtId="0" fontId="1" fillId="4" borderId="495" xfId="6" applyFont="1" applyFill="1" applyBorder="1" applyAlignment="1" applyProtection="1">
      <alignment horizontal="left"/>
      <protection hidden="1"/>
    </xf>
    <xf numFmtId="0" fontId="5" fillId="16" borderId="526" xfId="2" applyFill="1" applyBorder="1" applyAlignment="1" applyProtection="1">
      <alignment horizontal="left"/>
      <protection locked="0"/>
    </xf>
    <xf numFmtId="0" fontId="5" fillId="14" borderId="301" xfId="2" applyFill="1" applyBorder="1" applyAlignment="1" applyProtection="1">
      <alignment horizontal="left"/>
      <protection hidden="1"/>
    </xf>
    <xf numFmtId="0" fontId="1" fillId="4" borderId="672" xfId="6" applyFont="1" applyFill="1" applyBorder="1" applyAlignment="1" applyProtection="1">
      <alignment horizontal="left"/>
      <protection hidden="1"/>
    </xf>
    <xf numFmtId="0" fontId="1" fillId="4" borderId="673" xfId="6" applyFont="1" applyFill="1" applyBorder="1" applyAlignment="1" applyProtection="1">
      <alignment horizontal="right"/>
      <protection hidden="1"/>
    </xf>
    <xf numFmtId="0" fontId="5" fillId="16" borderId="662" xfId="2" applyFill="1" applyBorder="1" applyAlignment="1" applyProtection="1">
      <alignment horizontal="right"/>
      <protection locked="0"/>
    </xf>
    <xf numFmtId="0" fontId="5" fillId="14" borderId="664" xfId="2" applyFill="1" applyBorder="1" applyAlignment="1" applyProtection="1">
      <alignment horizontal="right"/>
      <protection hidden="1"/>
    </xf>
    <xf numFmtId="0" fontId="5" fillId="14" borderId="672" xfId="2" applyFill="1" applyBorder="1" applyAlignment="1" applyProtection="1">
      <alignment horizontal="left"/>
      <protection hidden="1"/>
    </xf>
    <xf numFmtId="0" fontId="5" fillId="14" borderId="668" xfId="2" applyFill="1" applyBorder="1" applyAlignment="1" applyProtection="1">
      <alignment horizontal="right"/>
      <protection hidden="1"/>
    </xf>
    <xf numFmtId="0" fontId="44" fillId="14" borderId="670" xfId="2" applyFont="1" applyFill="1" applyBorder="1" applyAlignment="1" applyProtection="1">
      <alignment horizontal="right"/>
      <protection hidden="1"/>
    </xf>
    <xf numFmtId="0" fontId="5" fillId="16" borderId="595" xfId="2" applyFill="1" applyBorder="1" applyAlignment="1" applyProtection="1">
      <alignment horizontal="right"/>
      <protection locked="0"/>
    </xf>
    <xf numFmtId="0" fontId="5" fillId="14" borderId="34" xfId="2" applyFill="1" applyBorder="1" applyAlignment="1" applyProtection="1">
      <alignment horizontal="right"/>
      <protection hidden="1"/>
    </xf>
    <xf numFmtId="0" fontId="5" fillId="14" borderId="500" xfId="2" applyFill="1" applyBorder="1" applyAlignment="1" applyProtection="1">
      <alignment horizontal="right"/>
      <protection hidden="1"/>
    </xf>
    <xf numFmtId="0" fontId="5" fillId="16" borderId="661" xfId="2" applyFill="1" applyBorder="1" applyAlignment="1" applyProtection="1">
      <alignment horizontal="left"/>
      <protection locked="0"/>
    </xf>
    <xf numFmtId="0" fontId="5" fillId="18" borderId="662" xfId="2" applyFill="1" applyBorder="1" applyAlignment="1" applyProtection="1">
      <alignment horizontal="right"/>
      <protection locked="0"/>
    </xf>
    <xf numFmtId="0" fontId="5" fillId="14" borderId="674" xfId="2" applyFill="1" applyBorder="1" applyAlignment="1" applyProtection="1">
      <alignment horizontal="left"/>
      <protection hidden="1"/>
    </xf>
    <xf numFmtId="0" fontId="5" fillId="14" borderId="673" xfId="2" applyFill="1" applyBorder="1" applyAlignment="1" applyProtection="1">
      <alignment horizontal="right"/>
      <protection hidden="1"/>
    </xf>
    <xf numFmtId="0" fontId="44" fillId="18" borderId="526" xfId="2" applyFont="1" applyFill="1" applyBorder="1" applyAlignment="1" applyProtection="1">
      <alignment horizontal="left"/>
      <protection locked="0"/>
    </xf>
    <xf numFmtId="1" fontId="44" fillId="14" borderId="58" xfId="2" applyNumberFormat="1" applyFont="1" applyFill="1" applyBorder="1" applyAlignment="1" applyProtection="1">
      <alignment horizontal="left"/>
      <protection hidden="1"/>
    </xf>
    <xf numFmtId="0" fontId="44" fillId="18" borderId="662" xfId="2" applyFont="1" applyFill="1" applyBorder="1" applyProtection="1">
      <protection locked="0"/>
    </xf>
    <xf numFmtId="0" fontId="44" fillId="0" borderId="670" xfId="2" applyFont="1" applyFill="1" applyBorder="1" applyProtection="1">
      <protection hidden="1"/>
    </xf>
    <xf numFmtId="0" fontId="5" fillId="5" borderId="628" xfId="2" applyFont="1" applyFill="1" applyBorder="1" applyAlignment="1" applyProtection="1">
      <alignment horizontal="center"/>
      <protection locked="0"/>
    </xf>
    <xf numFmtId="0" fontId="5" fillId="14" borderId="669" xfId="2" applyFill="1" applyBorder="1" applyAlignment="1" applyProtection="1">
      <alignment horizontal="left"/>
      <protection hidden="1"/>
    </xf>
    <xf numFmtId="1" fontId="5" fillId="3" borderId="540" xfId="2" applyNumberFormat="1" applyFill="1" applyBorder="1" applyAlignment="1" applyProtection="1">
      <alignment horizontal="center"/>
      <protection hidden="1"/>
    </xf>
    <xf numFmtId="0" fontId="5" fillId="10" borderId="124" xfId="2" applyFont="1" applyFill="1" applyBorder="1" applyAlignment="1" applyProtection="1">
      <alignment horizontal="center"/>
      <protection hidden="1"/>
    </xf>
    <xf numFmtId="0" fontId="5" fillId="10" borderId="628" xfId="2" applyFont="1" applyFill="1" applyBorder="1" applyAlignment="1" applyProtection="1">
      <alignment horizontal="center"/>
      <protection hidden="1"/>
    </xf>
    <xf numFmtId="0" fontId="5" fillId="10" borderId="335" xfId="2" applyFont="1" applyFill="1" applyBorder="1" applyAlignment="1" applyProtection="1">
      <alignment horizontal="center"/>
      <protection hidden="1"/>
    </xf>
    <xf numFmtId="0" fontId="5" fillId="10" borderId="620" xfId="2" applyFont="1" applyFill="1" applyBorder="1" applyAlignment="1" applyProtection="1">
      <alignment horizontal="center"/>
      <protection hidden="1"/>
    </xf>
    <xf numFmtId="0" fontId="5" fillId="4" borderId="620" xfId="2" applyNumberFormat="1" applyFont="1" applyFill="1" applyBorder="1" applyAlignment="1" applyProtection="1">
      <alignment horizontal="center"/>
      <protection hidden="1"/>
    </xf>
    <xf numFmtId="0" fontId="1" fillId="4" borderId="0" xfId="410" applyFont="1" applyFill="1" applyAlignment="1" applyProtection="1">
      <alignment horizontal="center"/>
      <protection hidden="1"/>
    </xf>
    <xf numFmtId="0" fontId="5" fillId="4" borderId="655" xfId="2" applyFill="1" applyBorder="1" applyAlignment="1" applyProtection="1">
      <protection hidden="1"/>
    </xf>
    <xf numFmtId="1" fontId="5" fillId="4" borderId="595" xfId="2" applyNumberFormat="1" applyFill="1" applyBorder="1" applyAlignment="1" applyProtection="1">
      <protection hidden="1"/>
    </xf>
    <xf numFmtId="164" fontId="5" fillId="4" borderId="641" xfId="2" applyNumberFormat="1" applyFill="1" applyBorder="1" applyAlignment="1" applyProtection="1">
      <protection hidden="1"/>
    </xf>
    <xf numFmtId="1" fontId="26" fillId="4" borderId="641" xfId="2" applyNumberFormat="1" applyFont="1" applyFill="1" applyBorder="1" applyAlignment="1" applyProtection="1">
      <protection hidden="1"/>
    </xf>
    <xf numFmtId="0" fontId="5" fillId="4" borderId="494" xfId="2" applyFill="1" applyBorder="1" applyAlignment="1" applyProtection="1">
      <protection hidden="1"/>
    </xf>
    <xf numFmtId="164" fontId="52" fillId="0" borderId="301" xfId="2" applyNumberFormat="1" applyFont="1" applyBorder="1" applyAlignment="1" applyProtection="1">
      <alignment horizontal="center"/>
      <protection hidden="1"/>
    </xf>
    <xf numFmtId="0" fontId="1" fillId="3" borderId="656" xfId="2" applyFont="1" applyFill="1" applyBorder="1" applyProtection="1">
      <protection hidden="1"/>
    </xf>
    <xf numFmtId="0" fontId="1" fillId="3" borderId="640" xfId="2" applyFont="1" applyFill="1" applyBorder="1" applyProtection="1">
      <protection hidden="1"/>
    </xf>
    <xf numFmtId="0" fontId="1" fillId="0" borderId="640" xfId="2" applyFont="1" applyBorder="1" applyProtection="1">
      <protection hidden="1"/>
    </xf>
    <xf numFmtId="0" fontId="52" fillId="0" borderId="675" xfId="2" applyFont="1" applyBorder="1" applyProtection="1">
      <protection hidden="1"/>
    </xf>
    <xf numFmtId="0" fontId="15" fillId="0" borderId="12" xfId="3" applyFont="1" applyBorder="1" applyAlignment="1" applyProtection="1">
      <alignment horizontal="left"/>
      <protection hidden="1"/>
    </xf>
    <xf numFmtId="0" fontId="5" fillId="0" borderId="12" xfId="2" applyBorder="1" applyAlignment="1" applyProtection="1">
      <alignment horizontal="right"/>
      <protection hidden="1"/>
    </xf>
    <xf numFmtId="0" fontId="5" fillId="0" borderId="83" xfId="2" applyBorder="1" applyProtection="1">
      <protection hidden="1"/>
    </xf>
    <xf numFmtId="0" fontId="5" fillId="0" borderId="12" xfId="1" applyFont="1" applyBorder="1" applyAlignment="1" applyProtection="1">
      <alignment horizontal="left"/>
      <protection hidden="1"/>
    </xf>
    <xf numFmtId="0" fontId="44" fillId="47" borderId="676" xfId="198" applyFont="1" applyFill="1" applyBorder="1" applyAlignment="1" applyProtection="1">
      <protection hidden="1"/>
    </xf>
    <xf numFmtId="0" fontId="5" fillId="3" borderId="526" xfId="1" applyFont="1" applyFill="1" applyBorder="1" applyProtection="1">
      <protection hidden="1"/>
    </xf>
    <xf numFmtId="0" fontId="5" fillId="3" borderId="301" xfId="1" applyFont="1" applyFill="1" applyBorder="1" applyProtection="1">
      <protection hidden="1"/>
    </xf>
    <xf numFmtId="0" fontId="68" fillId="3" borderId="301" xfId="2" applyFont="1" applyFill="1" applyBorder="1" applyAlignment="1" applyProtection="1">
      <alignment horizontal="right"/>
      <protection hidden="1"/>
    </xf>
    <xf numFmtId="0" fontId="5" fillId="3" borderId="301" xfId="2" applyFont="1" applyFill="1" applyBorder="1" applyAlignment="1" applyProtection="1">
      <alignment vertical="top" wrapText="1"/>
      <protection hidden="1"/>
    </xf>
    <xf numFmtId="0" fontId="1" fillId="3" borderId="515" xfId="2" applyFont="1" applyFill="1" applyBorder="1" applyProtection="1">
      <protection hidden="1"/>
    </xf>
    <xf numFmtId="0" fontId="5" fillId="3" borderId="656" xfId="1" applyFont="1" applyFill="1" applyBorder="1" applyProtection="1">
      <protection hidden="1"/>
    </xf>
    <xf numFmtId="0" fontId="5" fillId="3" borderId="628" xfId="1" applyFont="1" applyFill="1" applyBorder="1" applyAlignment="1" applyProtection="1">
      <alignment horizontal="left"/>
      <protection hidden="1"/>
    </xf>
    <xf numFmtId="0" fontId="5" fillId="3" borderId="469" xfId="1" applyFont="1" applyFill="1" applyBorder="1" applyAlignment="1" applyProtection="1">
      <alignment horizontal="left"/>
      <protection hidden="1"/>
    </xf>
    <xf numFmtId="0" fontId="5" fillId="4" borderId="595" xfId="6" applyFont="1" applyFill="1" applyBorder="1" applyProtection="1">
      <protection hidden="1"/>
    </xf>
    <xf numFmtId="0" fontId="5" fillId="4" borderId="641" xfId="6" applyFont="1" applyFill="1" applyBorder="1" applyAlignment="1" applyProtection="1">
      <alignment horizontal="left"/>
      <protection hidden="1"/>
    </xf>
    <xf numFmtId="164" fontId="32" fillId="4" borderId="641" xfId="6" applyNumberFormat="1" applyFont="1" applyFill="1" applyBorder="1" applyAlignment="1" applyProtection="1">
      <alignment horizontal="center"/>
      <protection hidden="1"/>
    </xf>
    <xf numFmtId="0" fontId="5" fillId="4" borderId="641" xfId="6" applyFont="1" applyFill="1" applyBorder="1" applyProtection="1">
      <protection hidden="1"/>
    </xf>
    <xf numFmtId="164" fontId="25" fillId="4" borderId="641" xfId="6" applyNumberFormat="1" applyFont="1" applyFill="1" applyBorder="1" applyAlignment="1" applyProtection="1">
      <alignment horizontal="center"/>
      <protection hidden="1"/>
    </xf>
    <xf numFmtId="0" fontId="5" fillId="0" borderId="671" xfId="6" applyFont="1" applyBorder="1" applyAlignment="1" applyProtection="1">
      <alignment horizontal="left"/>
      <protection hidden="1"/>
    </xf>
    <xf numFmtId="164" fontId="27" fillId="0" borderId="671" xfId="6" applyNumberFormat="1" applyFont="1" applyBorder="1" applyAlignment="1" applyProtection="1">
      <alignment horizontal="center"/>
      <protection hidden="1"/>
    </xf>
    <xf numFmtId="0" fontId="5" fillId="14" borderId="641" xfId="6" applyFont="1" applyFill="1" applyBorder="1" applyAlignment="1" applyProtection="1">
      <alignment horizontal="left"/>
      <protection hidden="1"/>
    </xf>
    <xf numFmtId="0" fontId="52" fillId="14" borderId="641" xfId="6" applyFont="1" applyFill="1" applyBorder="1" applyAlignment="1" applyProtection="1">
      <alignment horizontal="right"/>
      <protection hidden="1"/>
    </xf>
    <xf numFmtId="1" fontId="52" fillId="14" borderId="494" xfId="6" applyNumberFormat="1" applyFont="1" applyFill="1" applyBorder="1" applyAlignment="1" applyProtection="1">
      <alignment horizontal="center"/>
      <protection hidden="1"/>
    </xf>
    <xf numFmtId="1" fontId="52" fillId="46" borderId="469" xfId="6" applyNumberFormat="1" applyFont="1" applyFill="1" applyBorder="1" applyAlignment="1" applyProtection="1">
      <alignment horizontal="center"/>
      <protection hidden="1"/>
    </xf>
    <xf numFmtId="0" fontId="154" fillId="5" borderId="657" xfId="6" applyFont="1" applyFill="1" applyBorder="1" applyAlignment="1" applyProtection="1">
      <alignment horizontal="center"/>
      <protection locked="0"/>
    </xf>
    <xf numFmtId="0" fontId="14" fillId="4" borderId="628" xfId="6" applyFont="1" applyFill="1" applyBorder="1" applyProtection="1">
      <protection hidden="1"/>
    </xf>
    <xf numFmtId="0" fontId="169" fillId="0" borderId="655" xfId="6" applyFont="1" applyBorder="1" applyAlignment="1" applyProtection="1">
      <alignment horizontal="center"/>
      <protection hidden="1"/>
    </xf>
    <xf numFmtId="0" fontId="27" fillId="0" borderId="681" xfId="6" applyFont="1" applyBorder="1" applyAlignment="1" applyProtection="1">
      <alignment horizontal="center"/>
      <protection hidden="1"/>
    </xf>
    <xf numFmtId="0" fontId="154" fillId="0" borderId="682" xfId="6" applyFont="1" applyBorder="1" applyAlignment="1" applyProtection="1">
      <alignment horizontal="center"/>
      <protection hidden="1"/>
    </xf>
    <xf numFmtId="0" fontId="170" fillId="0" borderId="640" xfId="6" applyFont="1" applyBorder="1" applyProtection="1"/>
    <xf numFmtId="0" fontId="155" fillId="5" borderId="595" xfId="286" applyFont="1" applyFill="1" applyBorder="1" applyAlignment="1" applyProtection="1">
      <alignment horizontal="center"/>
      <protection locked="0"/>
    </xf>
    <xf numFmtId="1" fontId="158" fillId="0" borderId="683" xfId="6" applyNumberFormat="1" applyFont="1" applyBorder="1" applyAlignment="1" applyProtection="1">
      <alignment horizontal="center"/>
      <protection hidden="1"/>
    </xf>
    <xf numFmtId="0" fontId="155" fillId="7" borderId="684" xfId="6" applyFont="1" applyFill="1" applyBorder="1" applyAlignment="1" applyProtection="1">
      <alignment horizontal="center"/>
      <protection locked="0"/>
    </xf>
    <xf numFmtId="0" fontId="44" fillId="12" borderId="671" xfId="286" applyFont="1" applyFill="1" applyBorder="1" applyAlignment="1" applyProtection="1">
      <alignment horizontal="center"/>
      <protection hidden="1"/>
    </xf>
    <xf numFmtId="0" fontId="175" fillId="0" borderId="640" xfId="6" applyFont="1" applyBorder="1" applyProtection="1"/>
    <xf numFmtId="0" fontId="61" fillId="0" borderId="640" xfId="6" applyFont="1" applyBorder="1" applyProtection="1"/>
    <xf numFmtId="0" fontId="15" fillId="0" borderId="641" xfId="3" applyFont="1" applyBorder="1" applyAlignment="1" applyProtection="1">
      <protection hidden="1"/>
    </xf>
    <xf numFmtId="0" fontId="44" fillId="0" borderId="641" xfId="6" applyFont="1" applyBorder="1" applyProtection="1">
      <protection hidden="1"/>
    </xf>
    <xf numFmtId="0" fontId="165" fillId="42" borderId="202" xfId="6" applyFont="1" applyFill="1" applyBorder="1" applyProtection="1">
      <protection hidden="1"/>
    </xf>
    <xf numFmtId="0" fontId="44" fillId="47" borderId="655" xfId="198" applyFont="1" applyFill="1" applyBorder="1" applyAlignment="1" applyProtection="1">
      <protection hidden="1"/>
    </xf>
    <xf numFmtId="2" fontId="44" fillId="47" borderId="628" xfId="198" applyNumberFormat="1" applyFont="1" applyFill="1" applyBorder="1" applyAlignment="1" applyProtection="1">
      <alignment horizontal="center"/>
      <protection hidden="1"/>
    </xf>
    <xf numFmtId="0" fontId="5" fillId="4" borderId="655" xfId="413" applyFont="1" applyFill="1" applyBorder="1" applyAlignment="1" applyProtection="1">
      <protection hidden="1"/>
    </xf>
    <xf numFmtId="0" fontId="14" fillId="4" borderId="685" xfId="6" applyFont="1" applyFill="1" applyBorder="1" applyProtection="1">
      <protection hidden="1"/>
    </xf>
    <xf numFmtId="0" fontId="14" fillId="4" borderId="149" xfId="6" applyFont="1" applyFill="1" applyBorder="1" applyProtection="1">
      <protection hidden="1"/>
    </xf>
    <xf numFmtId="0" fontId="5" fillId="0" borderId="342" xfId="6" applyFont="1" applyBorder="1" applyProtection="1"/>
    <xf numFmtId="0" fontId="5" fillId="0" borderId="59" xfId="6" applyFont="1" applyBorder="1" applyProtection="1"/>
    <xf numFmtId="0" fontId="9" fillId="0" borderId="686" xfId="6" applyFont="1" applyBorder="1" applyProtection="1">
      <protection hidden="1"/>
    </xf>
    <xf numFmtId="0" fontId="26" fillId="0" borderId="655" xfId="6" applyFont="1" applyBorder="1" applyAlignment="1" applyProtection="1">
      <alignment horizontal="right"/>
      <protection hidden="1"/>
    </xf>
    <xf numFmtId="0" fontId="154" fillId="0" borderId="595" xfId="6" applyFont="1" applyBorder="1" applyAlignment="1" applyProtection="1">
      <alignment horizontal="right"/>
      <protection hidden="1"/>
    </xf>
    <xf numFmtId="0" fontId="154" fillId="5" borderId="500" xfId="6" applyFont="1" applyFill="1" applyBorder="1" applyAlignment="1" applyProtection="1">
      <alignment horizontal="center"/>
      <protection locked="0"/>
    </xf>
    <xf numFmtId="0" fontId="5" fillId="0" borderId="641" xfId="6" applyFont="1" applyBorder="1" applyAlignment="1" applyProtection="1">
      <alignment horizontal="right"/>
      <protection hidden="1"/>
    </xf>
    <xf numFmtId="0" fontId="154" fillId="5" borderId="671" xfId="6" applyFont="1" applyFill="1" applyBorder="1" applyAlignment="1" applyProtection="1">
      <alignment horizontal="center"/>
      <protection locked="0"/>
    </xf>
    <xf numFmtId="0" fontId="27" fillId="5" borderId="60" xfId="6" applyFont="1" applyFill="1" applyBorder="1" applyAlignment="1" applyProtection="1">
      <alignment horizontal="center"/>
      <protection locked="0"/>
    </xf>
    <xf numFmtId="0" fontId="5" fillId="0" borderId="494" xfId="6" applyFont="1" applyBorder="1" applyAlignment="1" applyProtection="1">
      <alignment horizontal="right"/>
      <protection hidden="1"/>
    </xf>
    <xf numFmtId="0" fontId="154" fillId="5" borderId="494" xfId="6" applyFont="1" applyFill="1" applyBorder="1" applyAlignment="1" applyProtection="1">
      <alignment horizontal="center"/>
      <protection locked="0"/>
    </xf>
    <xf numFmtId="164" fontId="27" fillId="4" borderId="640" xfId="6" applyNumberFormat="1" applyFont="1" applyFill="1" applyBorder="1" applyAlignment="1" applyProtection="1">
      <alignment horizontal="center"/>
      <protection hidden="1"/>
    </xf>
    <xf numFmtId="164" fontId="155" fillId="4" borderId="640" xfId="6" applyNumberFormat="1" applyFont="1" applyFill="1" applyBorder="1" applyAlignment="1" applyProtection="1">
      <alignment horizontal="center"/>
      <protection hidden="1"/>
    </xf>
    <xf numFmtId="164" fontId="25" fillId="4" borderId="640" xfId="6" applyNumberFormat="1" applyFont="1" applyFill="1" applyBorder="1" applyAlignment="1" applyProtection="1">
      <alignment horizontal="center"/>
      <protection hidden="1"/>
    </xf>
    <xf numFmtId="0" fontId="5" fillId="4" borderId="671" xfId="6" applyFont="1" applyFill="1" applyBorder="1" applyAlignment="1" applyProtection="1">
      <alignment horizontal="left"/>
      <protection hidden="1"/>
    </xf>
    <xf numFmtId="1" fontId="27" fillId="4" borderId="640" xfId="6" applyNumberFormat="1" applyFont="1" applyFill="1" applyBorder="1" applyAlignment="1" applyProtection="1">
      <alignment horizontal="center"/>
      <protection hidden="1"/>
    </xf>
    <xf numFmtId="0" fontId="42" fillId="4" borderId="494" xfId="6" applyFont="1" applyFill="1" applyBorder="1" applyAlignment="1" applyProtection="1">
      <alignment horizontal="right"/>
      <protection hidden="1"/>
    </xf>
    <xf numFmtId="1" fontId="42" fillId="4" borderId="469" xfId="6" applyNumberFormat="1" applyFont="1" applyFill="1" applyBorder="1" applyAlignment="1" applyProtection="1">
      <alignment horizontal="center"/>
      <protection hidden="1"/>
    </xf>
    <xf numFmtId="0" fontId="14" fillId="0" borderId="655" xfId="6" applyFont="1" applyBorder="1" applyProtection="1">
      <protection hidden="1"/>
    </xf>
    <xf numFmtId="0" fontId="5" fillId="0" borderId="689" xfId="6" applyFont="1" applyBorder="1" applyProtection="1">
      <protection hidden="1"/>
    </xf>
    <xf numFmtId="0" fontId="32" fillId="0" borderId="690" xfId="6" applyFont="1" applyBorder="1" applyAlignment="1" applyProtection="1">
      <alignment horizontal="center"/>
      <protection hidden="1"/>
    </xf>
    <xf numFmtId="0" fontId="5" fillId="0" borderId="619" xfId="6" applyFont="1" applyBorder="1" applyProtection="1">
      <protection hidden="1"/>
    </xf>
    <xf numFmtId="0" fontId="176" fillId="0" borderId="500" xfId="6" applyFont="1" applyBorder="1" applyProtection="1"/>
    <xf numFmtId="0" fontId="176" fillId="0" borderId="692" xfId="6" applyFont="1" applyBorder="1" applyProtection="1"/>
    <xf numFmtId="0" fontId="170" fillId="0" borderId="692" xfId="6" applyFont="1" applyBorder="1" applyProtection="1"/>
    <xf numFmtId="0" fontId="175" fillId="0" borderId="692" xfId="6" applyFont="1" applyBorder="1" applyProtection="1"/>
    <xf numFmtId="0" fontId="61" fillId="0" borderId="692" xfId="6" applyFont="1" applyBorder="1" applyProtection="1"/>
    <xf numFmtId="0" fontId="44" fillId="5" borderId="692" xfId="6" applyFont="1" applyFill="1" applyBorder="1" applyAlignment="1" applyProtection="1">
      <alignment horizontal="center"/>
      <protection locked="0"/>
    </xf>
    <xf numFmtId="0" fontId="15" fillId="0" borderId="336" xfId="3" applyFont="1" applyBorder="1" applyAlignment="1" applyProtection="1">
      <protection hidden="1"/>
    </xf>
    <xf numFmtId="0" fontId="44" fillId="47" borderId="682" xfId="198" applyFont="1" applyFill="1" applyBorder="1" applyAlignment="1" applyProtection="1">
      <protection hidden="1"/>
    </xf>
    <xf numFmtId="0" fontId="44" fillId="47" borderId="654" xfId="198" applyFont="1" applyFill="1" applyBorder="1" applyAlignment="1" applyProtection="1">
      <alignment horizontal="center"/>
      <protection hidden="1"/>
    </xf>
    <xf numFmtId="0" fontId="44" fillId="47" borderId="681" xfId="198" applyFont="1" applyFill="1" applyBorder="1" applyAlignment="1" applyProtection="1">
      <alignment horizontal="center"/>
      <protection hidden="1"/>
    </xf>
    <xf numFmtId="0" fontId="5" fillId="5" borderId="655" xfId="2" applyFill="1" applyBorder="1" applyAlignment="1" applyProtection="1">
      <alignment horizontal="center"/>
      <protection locked="0"/>
    </xf>
    <xf numFmtId="0" fontId="5" fillId="9" borderId="628" xfId="2" applyFill="1" applyBorder="1" applyAlignment="1" applyProtection="1">
      <alignment horizontal="center"/>
      <protection locked="0"/>
    </xf>
    <xf numFmtId="0" fontId="5" fillId="5" borderId="654" xfId="2" applyFill="1" applyBorder="1" applyAlignment="1" applyProtection="1">
      <alignment horizontal="center"/>
      <protection locked="0"/>
    </xf>
    <xf numFmtId="1" fontId="5" fillId="4" borderId="641" xfId="6" applyNumberFormat="1" applyFont="1" applyFill="1" applyBorder="1" applyAlignment="1" applyProtection="1">
      <alignment horizontal="center"/>
      <protection hidden="1"/>
    </xf>
    <xf numFmtId="1" fontId="5" fillId="4" borderId="640" xfId="6" applyNumberFormat="1" applyFont="1" applyFill="1" applyBorder="1" applyAlignment="1" applyProtection="1">
      <alignment horizontal="center"/>
      <protection hidden="1"/>
    </xf>
    <xf numFmtId="1" fontId="5" fillId="4" borderId="301" xfId="6" applyNumberFormat="1" applyFont="1" applyFill="1" applyBorder="1" applyAlignment="1" applyProtection="1">
      <alignment horizontal="center"/>
      <protection hidden="1"/>
    </xf>
    <xf numFmtId="164" fontId="5" fillId="4" borderId="641" xfId="6" applyNumberFormat="1" applyFont="1" applyFill="1" applyBorder="1" applyAlignment="1" applyProtection="1">
      <alignment horizontal="center"/>
      <protection hidden="1"/>
    </xf>
    <xf numFmtId="164" fontId="5" fillId="4" borderId="640" xfId="6" applyNumberFormat="1" applyFont="1" applyFill="1" applyBorder="1" applyAlignment="1" applyProtection="1">
      <alignment horizontal="center"/>
      <protection hidden="1"/>
    </xf>
    <xf numFmtId="164" fontId="5" fillId="4" borderId="301" xfId="6" applyNumberFormat="1" applyFont="1" applyFill="1" applyBorder="1" applyAlignment="1" applyProtection="1">
      <alignment horizontal="center"/>
      <protection hidden="1"/>
    </xf>
    <xf numFmtId="164" fontId="5" fillId="4" borderId="641" xfId="2" applyNumberFormat="1" applyFill="1" applyBorder="1" applyAlignment="1" applyProtection="1">
      <alignment horizontal="center"/>
      <protection hidden="1"/>
    </xf>
    <xf numFmtId="164" fontId="5" fillId="4" borderId="640" xfId="2" applyNumberFormat="1" applyFill="1" applyBorder="1" applyAlignment="1" applyProtection="1">
      <alignment horizontal="center"/>
      <protection hidden="1"/>
    </xf>
    <xf numFmtId="164" fontId="5" fillId="4" borderId="301" xfId="2" applyNumberFormat="1" applyFill="1" applyBorder="1" applyAlignment="1" applyProtection="1">
      <alignment horizontal="center"/>
      <protection hidden="1"/>
    </xf>
    <xf numFmtId="164" fontId="5" fillId="4" borderId="494" xfId="6" applyNumberFormat="1" applyFont="1" applyFill="1" applyBorder="1" applyAlignment="1" applyProtection="1">
      <alignment horizontal="center"/>
      <protection hidden="1"/>
    </xf>
    <xf numFmtId="164" fontId="5" fillId="4" borderId="469" xfId="6" applyNumberFormat="1" applyFont="1" applyFill="1" applyBorder="1" applyAlignment="1" applyProtection="1">
      <alignment horizontal="center"/>
      <protection hidden="1"/>
    </xf>
    <xf numFmtId="164" fontId="5" fillId="4" borderId="495" xfId="6" applyNumberFormat="1" applyFont="1" applyFill="1" applyBorder="1" applyAlignment="1" applyProtection="1">
      <alignment horizontal="center"/>
      <protection hidden="1"/>
    </xf>
    <xf numFmtId="0" fontId="14" fillId="0" borderId="494" xfId="6" applyFont="1" applyBorder="1" applyAlignment="1" applyProtection="1">
      <alignment horizontal="left"/>
      <protection hidden="1"/>
    </xf>
    <xf numFmtId="0" fontId="26" fillId="0" borderId="693" xfId="6" applyFont="1" applyBorder="1" applyAlignment="1" applyProtection="1">
      <alignment horizontal="center"/>
      <protection hidden="1"/>
    </xf>
    <xf numFmtId="0" fontId="26" fillId="0" borderId="655" xfId="6" applyFont="1" applyBorder="1" applyAlignment="1" applyProtection="1">
      <alignment horizontal="center"/>
      <protection hidden="1"/>
    </xf>
    <xf numFmtId="0" fontId="26" fillId="0" borderId="628" xfId="6" applyFont="1" applyBorder="1" applyAlignment="1" applyProtection="1">
      <alignment horizontal="center"/>
      <protection hidden="1"/>
    </xf>
    <xf numFmtId="0" fontId="26" fillId="0" borderId="654" xfId="6" applyFont="1" applyBorder="1" applyAlignment="1" applyProtection="1">
      <alignment horizontal="center"/>
      <protection hidden="1"/>
    </xf>
    <xf numFmtId="0" fontId="5" fillId="5" borderId="500" xfId="6" applyFont="1" applyFill="1" applyBorder="1" applyAlignment="1" applyProtection="1">
      <alignment horizontal="center"/>
      <protection locked="0"/>
    </xf>
    <xf numFmtId="0" fontId="5" fillId="5" borderId="692" xfId="6" applyFont="1" applyFill="1" applyBorder="1" applyAlignment="1" applyProtection="1">
      <alignment horizontal="center"/>
      <protection locked="0"/>
    </xf>
    <xf numFmtId="0" fontId="27" fillId="4" borderId="654" xfId="3" applyFont="1" applyFill="1" applyBorder="1" applyAlignment="1" applyProtection="1">
      <protection hidden="1"/>
    </xf>
    <xf numFmtId="0" fontId="9" fillId="5" borderId="655" xfId="6" applyFont="1" applyFill="1" applyBorder="1" applyAlignment="1" applyProtection="1">
      <alignment horizontal="center"/>
      <protection locked="0"/>
    </xf>
    <xf numFmtId="0" fontId="9" fillId="9" borderId="628" xfId="6" applyFont="1" applyFill="1" applyBorder="1" applyAlignment="1" applyProtection="1">
      <alignment horizontal="center"/>
      <protection locked="0"/>
    </xf>
    <xf numFmtId="0" fontId="9" fillId="5" borderId="654" xfId="6" applyFont="1" applyFill="1" applyBorder="1" applyAlignment="1" applyProtection="1">
      <alignment horizontal="center"/>
      <protection locked="0"/>
    </xf>
    <xf numFmtId="0" fontId="107" fillId="3" borderId="59" xfId="198" applyFont="1" applyFill="1" applyBorder="1" applyProtection="1">
      <protection hidden="1"/>
    </xf>
    <xf numFmtId="0" fontId="107" fillId="3" borderId="59" xfId="198" applyFont="1" applyFill="1" applyBorder="1" applyAlignment="1" applyProtection="1">
      <alignment horizontal="left" vertical="top" wrapText="1"/>
      <protection hidden="1"/>
    </xf>
    <xf numFmtId="0" fontId="35" fillId="14" borderId="694" xfId="198" applyFont="1" applyFill="1" applyBorder="1" applyAlignment="1" applyProtection="1">
      <alignment horizontal="center"/>
      <protection hidden="1"/>
    </xf>
    <xf numFmtId="0" fontId="26" fillId="14" borderId="695" xfId="198" applyFont="1" applyFill="1" applyBorder="1" applyAlignment="1" applyProtection="1">
      <alignment horizontal="center"/>
      <protection hidden="1"/>
    </xf>
    <xf numFmtId="0" fontId="26" fillId="14" borderId="696" xfId="0" applyFont="1" applyFill="1" applyBorder="1" applyAlignment="1" applyProtection="1">
      <alignment horizontal="center"/>
      <protection hidden="1"/>
    </xf>
    <xf numFmtId="0" fontId="37" fillId="14" borderId="595" xfId="198" applyFont="1" applyFill="1" applyBorder="1" applyAlignment="1" applyProtection="1">
      <alignment horizontal="center"/>
      <protection hidden="1"/>
    </xf>
    <xf numFmtId="0" fontId="177" fillId="14" borderId="694" xfId="198" applyFont="1" applyFill="1" applyBorder="1" applyAlignment="1" applyProtection="1">
      <alignment horizontal="center"/>
      <protection hidden="1"/>
    </xf>
    <xf numFmtId="0" fontId="36" fillId="6" borderId="691" xfId="2" applyFont="1" applyFill="1" applyBorder="1" applyAlignment="1" applyProtection="1">
      <alignment horizontal="center"/>
      <protection locked="0"/>
    </xf>
    <xf numFmtId="0" fontId="34" fillId="15" borderId="691" xfId="2" applyFont="1" applyFill="1" applyBorder="1" applyAlignment="1" applyProtection="1">
      <alignment horizontal="center"/>
      <protection locked="0"/>
    </xf>
    <xf numFmtId="0" fontId="175" fillId="15" borderId="691" xfId="2" applyFont="1" applyFill="1" applyBorder="1" applyAlignment="1" applyProtection="1">
      <alignment horizontal="center"/>
      <protection locked="0"/>
    </xf>
    <xf numFmtId="0" fontId="27" fillId="15" borderId="698" xfId="2" applyFont="1" applyFill="1" applyBorder="1" applyAlignment="1" applyProtection="1">
      <alignment horizontal="center"/>
      <protection locked="0"/>
    </xf>
    <xf numFmtId="0" fontId="27" fillId="6" borderId="698" xfId="2" applyFont="1" applyFill="1" applyBorder="1" applyAlignment="1" applyProtection="1">
      <alignment horizontal="center"/>
      <protection locked="0"/>
    </xf>
    <xf numFmtId="0" fontId="27" fillId="15" borderId="655" xfId="2" applyFont="1" applyFill="1" applyBorder="1" applyAlignment="1" applyProtection="1">
      <alignment horizontal="center"/>
      <protection locked="0"/>
    </xf>
    <xf numFmtId="164" fontId="5" fillId="0" borderId="641" xfId="2" applyNumberFormat="1" applyBorder="1" applyAlignment="1" applyProtection="1">
      <alignment horizontal="center"/>
      <protection hidden="1"/>
    </xf>
    <xf numFmtId="164" fontId="5" fillId="0" borderId="301" xfId="2" applyNumberFormat="1" applyBorder="1" applyAlignment="1" applyProtection="1">
      <alignment horizontal="center"/>
      <protection hidden="1"/>
    </xf>
    <xf numFmtId="164" fontId="35" fillId="0" borderId="494" xfId="2" applyNumberFormat="1" applyFont="1" applyBorder="1" applyAlignment="1" applyProtection="1">
      <alignment horizontal="center"/>
      <protection hidden="1"/>
    </xf>
    <xf numFmtId="164" fontId="5" fillId="0" borderId="495" xfId="2" applyNumberFormat="1" applyBorder="1" applyAlignment="1" applyProtection="1">
      <alignment horizontal="center"/>
      <protection hidden="1"/>
    </xf>
    <xf numFmtId="164" fontId="37" fillId="0" borderId="494" xfId="2" applyNumberFormat="1" applyFont="1" applyBorder="1" applyAlignment="1" applyProtection="1">
      <alignment horizontal="center"/>
      <protection hidden="1"/>
    </xf>
    <xf numFmtId="164" fontId="284" fillId="0" borderId="494" xfId="2" applyNumberFormat="1" applyFont="1" applyBorder="1" applyAlignment="1" applyProtection="1">
      <alignment horizontal="center"/>
      <protection hidden="1"/>
    </xf>
    <xf numFmtId="164" fontId="5" fillId="3" borderId="641" xfId="198" applyNumberFormat="1" applyFont="1" applyFill="1" applyBorder="1" applyAlignment="1" applyProtection="1">
      <alignment horizontal="center"/>
      <protection hidden="1"/>
    </xf>
    <xf numFmtId="164" fontId="5" fillId="3" borderId="697" xfId="198" applyNumberFormat="1" applyFont="1" applyFill="1" applyBorder="1" applyAlignment="1" applyProtection="1">
      <alignment horizontal="center"/>
      <protection hidden="1"/>
    </xf>
    <xf numFmtId="164" fontId="5" fillId="3" borderId="697" xfId="2" applyNumberFormat="1" applyFill="1" applyBorder="1" applyAlignment="1" applyProtection="1">
      <alignment horizontal="center"/>
      <protection hidden="1"/>
    </xf>
    <xf numFmtId="164" fontId="5" fillId="3" borderId="526" xfId="2" applyNumberFormat="1" applyFill="1" applyBorder="1" applyAlignment="1" applyProtection="1">
      <alignment horizontal="center"/>
      <protection hidden="1"/>
    </xf>
    <xf numFmtId="164" fontId="5" fillId="3" borderId="595" xfId="2" applyNumberFormat="1" applyFill="1" applyBorder="1" applyAlignment="1" applyProtection="1">
      <alignment horizontal="center"/>
      <protection hidden="1"/>
    </xf>
    <xf numFmtId="164" fontId="44" fillId="3" borderId="697" xfId="2" applyNumberFormat="1" applyFont="1" applyFill="1" applyBorder="1" applyAlignment="1" applyProtection="1">
      <alignment horizontal="center"/>
      <protection hidden="1"/>
    </xf>
    <xf numFmtId="164" fontId="44" fillId="3" borderId="697" xfId="198" applyNumberFormat="1" applyFont="1" applyFill="1" applyBorder="1" applyAlignment="1" applyProtection="1">
      <alignment horizontal="center"/>
      <protection hidden="1"/>
    </xf>
    <xf numFmtId="164" fontId="52" fillId="0" borderId="84" xfId="2" applyNumberFormat="1" applyFont="1" applyBorder="1" applyAlignment="1" applyProtection="1">
      <alignment horizontal="center"/>
      <protection hidden="1"/>
    </xf>
    <xf numFmtId="0" fontId="52" fillId="4" borderId="702" xfId="0" applyFont="1" applyFill="1" applyBorder="1" applyAlignment="1" applyProtection="1">
      <alignment horizontal="center" wrapText="1"/>
      <protection hidden="1"/>
    </xf>
    <xf numFmtId="0" fontId="52" fillId="4" borderId="701" xfId="0" applyFont="1" applyFill="1" applyBorder="1" applyAlignment="1" applyProtection="1">
      <alignment horizontal="center" wrapText="1"/>
      <protection hidden="1"/>
    </xf>
    <xf numFmtId="0" fontId="47" fillId="3" borderId="595" xfId="2" applyFont="1" applyFill="1" applyBorder="1" applyAlignment="1" applyProtection="1">
      <alignment wrapText="1"/>
      <protection hidden="1"/>
    </xf>
    <xf numFmtId="0" fontId="5" fillId="3" borderId="526" xfId="1" applyFont="1" applyFill="1" applyBorder="1" applyAlignment="1" applyProtection="1">
      <alignment horizontal="center"/>
      <protection hidden="1"/>
    </xf>
    <xf numFmtId="0" fontId="1" fillId="3" borderId="641" xfId="1" applyFill="1" applyBorder="1" applyProtection="1">
      <protection hidden="1"/>
    </xf>
    <xf numFmtId="0" fontId="1" fillId="3" borderId="301" xfId="1" applyFill="1" applyBorder="1" applyProtection="1">
      <protection hidden="1"/>
    </xf>
    <xf numFmtId="0" fontId="14" fillId="0" borderId="694" xfId="0" applyFont="1" applyBorder="1" applyProtection="1">
      <protection hidden="1"/>
    </xf>
    <xf numFmtId="0" fontId="35" fillId="14" borderId="694" xfId="0" applyFont="1" applyFill="1" applyBorder="1" applyAlignment="1" applyProtection="1">
      <alignment horizontal="right"/>
      <protection hidden="1"/>
    </xf>
    <xf numFmtId="0" fontId="26" fillId="14" borderId="695" xfId="0" applyFont="1" applyFill="1" applyBorder="1" applyAlignment="1" applyProtection="1">
      <alignment horizontal="right"/>
      <protection hidden="1"/>
    </xf>
    <xf numFmtId="0" fontId="26" fillId="14" borderId="703" xfId="0" applyFont="1" applyFill="1" applyBorder="1" applyAlignment="1" applyProtection="1">
      <alignment horizontal="right"/>
      <protection hidden="1"/>
    </xf>
    <xf numFmtId="0" fontId="37" fillId="14" borderId="694" xfId="0" applyFont="1" applyFill="1" applyBorder="1" applyAlignment="1" applyProtection="1">
      <alignment horizontal="right"/>
      <protection hidden="1"/>
    </xf>
    <xf numFmtId="0" fontId="41" fillId="14" borderId="694" xfId="0" applyFont="1" applyFill="1" applyBorder="1" applyAlignment="1" applyProtection="1">
      <alignment horizontal="right"/>
      <protection hidden="1"/>
    </xf>
    <xf numFmtId="0" fontId="26" fillId="14" borderId="696" xfId="0" applyFont="1" applyFill="1" applyBorder="1" applyAlignment="1" applyProtection="1">
      <alignment horizontal="right"/>
      <protection hidden="1"/>
    </xf>
    <xf numFmtId="0" fontId="5" fillId="5" borderId="273" xfId="2" applyFill="1" applyBorder="1" applyProtection="1">
      <protection locked="0"/>
    </xf>
    <xf numFmtId="0" fontId="5" fillId="16" borderId="691" xfId="0" applyFont="1" applyFill="1" applyBorder="1" applyProtection="1">
      <protection locked="0"/>
    </xf>
    <xf numFmtId="0" fontId="34" fillId="15" borderId="691" xfId="1" applyFont="1" applyFill="1" applyBorder="1" applyAlignment="1" applyProtection="1">
      <alignment horizontal="center"/>
      <protection locked="0"/>
    </xf>
    <xf numFmtId="0" fontId="36" fillId="6" borderId="691" xfId="1" applyFont="1" applyFill="1" applyBorder="1" applyAlignment="1" applyProtection="1">
      <alignment horizontal="center"/>
      <protection locked="0"/>
    </xf>
    <xf numFmtId="0" fontId="175" fillId="9" borderId="691" xfId="1" applyFont="1" applyFill="1" applyBorder="1" applyAlignment="1" applyProtection="1">
      <alignment horizontal="center"/>
      <protection locked="0"/>
    </xf>
    <xf numFmtId="0" fontId="5" fillId="5" borderId="691" xfId="2" applyFill="1" applyBorder="1" applyProtection="1">
      <protection locked="0"/>
    </xf>
    <xf numFmtId="0" fontId="34" fillId="9" borderId="691" xfId="1" applyFont="1" applyFill="1" applyBorder="1" applyAlignment="1" applyProtection="1">
      <alignment horizontal="center"/>
      <protection locked="0"/>
    </xf>
    <xf numFmtId="0" fontId="5" fillId="5" borderId="691" xfId="0" applyFont="1" applyFill="1" applyBorder="1" applyProtection="1">
      <protection locked="0"/>
    </xf>
    <xf numFmtId="0" fontId="44" fillId="13" borderId="691" xfId="2" applyFont="1" applyFill="1" applyBorder="1" applyAlignment="1" applyProtection="1">
      <alignment horizontal="left"/>
      <protection locked="0"/>
    </xf>
    <xf numFmtId="0" fontId="5" fillId="16" borderId="641" xfId="0" applyFont="1" applyFill="1" applyBorder="1" applyProtection="1">
      <protection locked="0"/>
    </xf>
    <xf numFmtId="0" fontId="5" fillId="5" borderId="641" xfId="2" applyFill="1" applyBorder="1" applyProtection="1">
      <protection locked="0"/>
    </xf>
    <xf numFmtId="0" fontId="5" fillId="5" borderId="692" xfId="1" applyFont="1" applyFill="1" applyBorder="1" applyProtection="1">
      <protection locked="0"/>
    </xf>
    <xf numFmtId="0" fontId="27" fillId="15" borderId="698" xfId="1" applyFont="1" applyFill="1" applyBorder="1" applyAlignment="1" applyProtection="1">
      <alignment horizontal="center"/>
      <protection locked="0"/>
    </xf>
    <xf numFmtId="0" fontId="27" fillId="6" borderId="698" xfId="1" applyFont="1" applyFill="1" applyBorder="1" applyAlignment="1" applyProtection="1">
      <alignment horizontal="center"/>
      <protection locked="0"/>
    </xf>
    <xf numFmtId="0" fontId="27" fillId="9" borderId="698" xfId="1" applyFont="1" applyFill="1" applyBorder="1" applyAlignment="1" applyProtection="1">
      <alignment horizontal="center"/>
      <protection locked="0"/>
    </xf>
    <xf numFmtId="0" fontId="35" fillId="15" borderId="655" xfId="1" applyNumberFormat="1" applyFont="1" applyFill="1" applyBorder="1" applyAlignment="1" applyProtection="1">
      <alignment horizontal="center"/>
      <protection locked="0"/>
    </xf>
    <xf numFmtId="0" fontId="37" fillId="6" borderId="655" xfId="0" applyNumberFormat="1" applyFont="1" applyFill="1" applyBorder="1" applyAlignment="1" applyProtection="1">
      <alignment horizontal="center"/>
      <protection locked="0"/>
    </xf>
    <xf numFmtId="0" fontId="177" fillId="9" borderId="699" xfId="1" applyNumberFormat="1" applyFont="1" applyFill="1" applyBorder="1" applyAlignment="1" applyProtection="1">
      <alignment horizontal="center"/>
      <protection locked="0"/>
    </xf>
    <xf numFmtId="164" fontId="5" fillId="0" borderId="641" xfId="1" applyNumberFormat="1" applyFont="1" applyBorder="1" applyAlignment="1" applyProtection="1">
      <alignment horizontal="center"/>
      <protection hidden="1"/>
    </xf>
    <xf numFmtId="164" fontId="5" fillId="0" borderId="641" xfId="0" applyNumberFormat="1" applyFont="1" applyBorder="1" applyAlignment="1" applyProtection="1">
      <alignment horizontal="center"/>
      <protection hidden="1"/>
    </xf>
    <xf numFmtId="164" fontId="175" fillId="0" borderId="641" xfId="1" applyNumberFormat="1" applyFont="1" applyBorder="1" applyAlignment="1" applyProtection="1">
      <alignment horizontal="center"/>
      <protection hidden="1"/>
    </xf>
    <xf numFmtId="164" fontId="35" fillId="0" borderId="641" xfId="1" applyNumberFormat="1" applyFont="1" applyBorder="1" applyAlignment="1" applyProtection="1">
      <alignment horizontal="center"/>
      <protection hidden="1"/>
    </xf>
    <xf numFmtId="164" fontId="37" fillId="0" borderId="494" xfId="0" applyNumberFormat="1" applyFont="1" applyBorder="1" applyAlignment="1" applyProtection="1">
      <alignment horizontal="center"/>
      <protection hidden="1"/>
    </xf>
    <xf numFmtId="164" fontId="63" fillId="0" borderId="641" xfId="1" applyNumberFormat="1" applyFont="1" applyBorder="1" applyAlignment="1" applyProtection="1">
      <alignment horizontal="center"/>
      <protection hidden="1"/>
    </xf>
    <xf numFmtId="164" fontId="5" fillId="0" borderId="495" xfId="1" applyNumberFormat="1" applyFont="1" applyBorder="1" applyAlignment="1" applyProtection="1">
      <alignment horizontal="center"/>
      <protection hidden="1"/>
    </xf>
    <xf numFmtId="164" fontId="64" fillId="3" borderId="595" xfId="1" applyNumberFormat="1" applyFont="1" applyFill="1" applyBorder="1" applyAlignment="1" applyProtection="1">
      <alignment horizontal="center"/>
      <protection hidden="1"/>
    </xf>
    <xf numFmtId="164" fontId="64" fillId="3" borderId="697" xfId="1" applyNumberFormat="1" applyFont="1" applyFill="1" applyBorder="1" applyAlignment="1" applyProtection="1">
      <alignment horizontal="center"/>
      <protection hidden="1"/>
    </xf>
    <xf numFmtId="164" fontId="44" fillId="3" borderId="697" xfId="1" applyNumberFormat="1" applyFont="1" applyFill="1" applyBorder="1" applyAlignment="1" applyProtection="1">
      <alignment horizontal="center"/>
      <protection hidden="1"/>
    </xf>
    <xf numFmtId="164" fontId="64" fillId="3" borderId="342" xfId="1" applyNumberFormat="1" applyFont="1" applyFill="1" applyBorder="1" applyAlignment="1" applyProtection="1">
      <alignment horizontal="center"/>
      <protection hidden="1"/>
    </xf>
    <xf numFmtId="2" fontId="16" fillId="3" borderId="655" xfId="1" applyNumberFormat="1" applyFont="1" applyFill="1" applyBorder="1" applyProtection="1">
      <protection hidden="1"/>
    </xf>
    <xf numFmtId="0" fontId="5" fillId="0" borderId="631" xfId="2" applyBorder="1" applyProtection="1">
      <protection hidden="1"/>
    </xf>
    <xf numFmtId="165" fontId="35" fillId="3" borderId="631" xfId="2" applyNumberFormat="1" applyFont="1" applyFill="1" applyBorder="1" applyAlignment="1" applyProtection="1">
      <alignment horizontal="center"/>
      <protection hidden="1"/>
    </xf>
    <xf numFmtId="0" fontId="39" fillId="0" borderId="631" xfId="2" applyFont="1" applyBorder="1" applyProtection="1">
      <protection hidden="1"/>
    </xf>
    <xf numFmtId="2" fontId="16" fillId="3" borderId="655" xfId="1" applyNumberFormat="1" applyFont="1" applyFill="1" applyBorder="1" applyAlignment="1" applyProtection="1">
      <alignment horizontal="center"/>
      <protection hidden="1"/>
    </xf>
    <xf numFmtId="165" fontId="37" fillId="3" borderId="631" xfId="2" applyNumberFormat="1" applyFont="1" applyFill="1" applyBorder="1" applyAlignment="1" applyProtection="1">
      <alignment horizontal="center"/>
      <protection hidden="1"/>
    </xf>
    <xf numFmtId="2" fontId="16" fillId="3" borderId="631" xfId="1" applyNumberFormat="1" applyFont="1" applyFill="1" applyBorder="1" applyAlignment="1" applyProtection="1">
      <alignment horizontal="center"/>
      <protection hidden="1"/>
    </xf>
    <xf numFmtId="165" fontId="41" fillId="3" borderId="631" xfId="2" applyNumberFormat="1" applyFont="1" applyFill="1" applyBorder="1" applyAlignment="1" applyProtection="1">
      <alignment horizontal="center"/>
      <protection hidden="1"/>
    </xf>
    <xf numFmtId="0" fontId="39" fillId="0" borderId="654" xfId="2" applyFont="1" applyBorder="1" applyProtection="1">
      <protection hidden="1"/>
    </xf>
    <xf numFmtId="0" fontId="9" fillId="3" borderId="595" xfId="2" applyFont="1" applyFill="1" applyBorder="1" applyAlignment="1" applyProtection="1">
      <alignment vertical="top" wrapText="1"/>
      <protection hidden="1"/>
    </xf>
    <xf numFmtId="0" fontId="9" fillId="2" borderId="526" xfId="2" applyFont="1" applyFill="1" applyBorder="1" applyAlignment="1" applyProtection="1">
      <alignment wrapText="1"/>
      <protection hidden="1"/>
    </xf>
    <xf numFmtId="0" fontId="9" fillId="3" borderId="495" xfId="2" applyFont="1" applyFill="1" applyBorder="1" applyAlignment="1" applyProtection="1">
      <alignment vertical="top" wrapText="1"/>
      <protection hidden="1"/>
    </xf>
    <xf numFmtId="164" fontId="25" fillId="3" borderId="685" xfId="1" applyNumberFormat="1" applyFont="1" applyFill="1" applyBorder="1" applyAlignment="1" applyProtection="1">
      <alignment horizontal="right"/>
      <protection hidden="1"/>
    </xf>
    <xf numFmtId="164" fontId="32" fillId="45" borderId="342" xfId="2" applyNumberFormat="1" applyFont="1" applyFill="1" applyBorder="1" applyAlignment="1" applyProtection="1">
      <alignment horizontal="right"/>
      <protection hidden="1"/>
    </xf>
    <xf numFmtId="164" fontId="32" fillId="45" borderId="0" xfId="2" applyNumberFormat="1" applyFont="1" applyFill="1" applyBorder="1" applyAlignment="1" applyProtection="1">
      <alignment horizontal="right"/>
      <protection hidden="1"/>
    </xf>
    <xf numFmtId="0" fontId="26" fillId="6" borderId="705" xfId="2" applyFont="1" applyFill="1" applyBorder="1" applyAlignment="1" applyProtection="1">
      <alignment horizontal="right"/>
      <protection locked="0"/>
    </xf>
    <xf numFmtId="0" fontId="14" fillId="3" borderId="689" xfId="4" applyFont="1" applyFill="1" applyBorder="1" applyProtection="1">
      <protection hidden="1"/>
    </xf>
    <xf numFmtId="0" fontId="26" fillId="5" borderId="631" xfId="2" applyFont="1" applyFill="1" applyBorder="1" applyProtection="1">
      <protection locked="0"/>
    </xf>
    <xf numFmtId="0" fontId="14" fillId="3" borderId="631" xfId="4" applyFont="1" applyFill="1" applyBorder="1" applyProtection="1">
      <protection hidden="1"/>
    </xf>
    <xf numFmtId="0" fontId="26" fillId="5" borderId="705" xfId="2" applyFont="1" applyFill="1" applyBorder="1" applyProtection="1">
      <protection locked="0"/>
    </xf>
    <xf numFmtId="0" fontId="14" fillId="3" borderId="654" xfId="4" applyFont="1" applyFill="1" applyBorder="1" applyProtection="1">
      <protection hidden="1"/>
    </xf>
    <xf numFmtId="1" fontId="5" fillId="3" borderId="301" xfId="2" applyNumberFormat="1" applyFill="1" applyBorder="1" applyAlignment="1" applyProtection="1">
      <alignment horizontal="left"/>
      <protection hidden="1"/>
    </xf>
    <xf numFmtId="1" fontId="5" fillId="3" borderId="301" xfId="4" applyNumberFormat="1" applyFont="1" applyFill="1" applyBorder="1" applyAlignment="1" applyProtection="1">
      <alignment horizontal="left"/>
      <protection hidden="1"/>
    </xf>
    <xf numFmtId="0" fontId="23" fillId="3" borderId="338" xfId="410" applyFont="1" applyFill="1" applyBorder="1" applyAlignment="1" applyProtection="1">
      <alignment horizontal="right"/>
      <protection hidden="1"/>
    </xf>
    <xf numFmtId="164" fontId="5" fillId="3" borderId="515" xfId="2" applyNumberFormat="1" applyFill="1" applyBorder="1" applyAlignment="1" applyProtection="1">
      <alignment horizontal="right"/>
      <protection hidden="1"/>
    </xf>
    <xf numFmtId="164" fontId="5" fillId="3" borderId="515" xfId="4" applyNumberFormat="1" applyFont="1" applyFill="1" applyBorder="1" applyAlignment="1" applyProtection="1">
      <alignment horizontal="center"/>
      <protection hidden="1"/>
    </xf>
    <xf numFmtId="0" fontId="5" fillId="3" borderId="495" xfId="410" applyFont="1" applyFill="1" applyBorder="1" applyProtection="1">
      <protection hidden="1"/>
    </xf>
    <xf numFmtId="164" fontId="211" fillId="3" borderId="0" xfId="1" applyNumberFormat="1" applyFont="1" applyFill="1" applyBorder="1" applyProtection="1">
      <protection hidden="1"/>
    </xf>
    <xf numFmtId="164" fontId="5" fillId="3" borderId="0" xfId="2" applyNumberFormat="1" applyFill="1" applyBorder="1" applyAlignment="1" applyProtection="1">
      <alignment horizontal="center"/>
      <protection hidden="1"/>
    </xf>
    <xf numFmtId="0" fontId="14" fillId="4" borderId="694" xfId="1" applyFont="1" applyFill="1" applyBorder="1" applyProtection="1">
      <protection hidden="1"/>
    </xf>
    <xf numFmtId="0" fontId="26" fillId="14" borderId="696" xfId="410" applyFont="1" applyFill="1" applyBorder="1" applyAlignment="1" applyProtection="1">
      <alignment horizontal="center"/>
      <protection hidden="1"/>
    </xf>
    <xf numFmtId="0" fontId="35" fillId="14" borderId="694" xfId="410" applyFont="1" applyFill="1" applyBorder="1" applyAlignment="1" applyProtection="1">
      <alignment horizontal="center"/>
      <protection hidden="1"/>
    </xf>
    <xf numFmtId="0" fontId="26" fillId="14" borderId="695" xfId="410" applyFont="1" applyFill="1" applyBorder="1" applyAlignment="1" applyProtection="1">
      <alignment horizontal="center"/>
      <protection hidden="1"/>
    </xf>
    <xf numFmtId="0" fontId="37" fillId="14" borderId="694" xfId="410" applyFont="1" applyFill="1" applyBorder="1" applyAlignment="1" applyProtection="1">
      <alignment horizontal="center"/>
      <protection hidden="1"/>
    </xf>
    <xf numFmtId="0" fontId="199" fillId="14" borderId="694" xfId="410" applyFont="1" applyFill="1" applyBorder="1" applyAlignment="1" applyProtection="1">
      <alignment horizontal="center"/>
      <protection hidden="1"/>
    </xf>
    <xf numFmtId="0" fontId="34" fillId="15" borderId="694" xfId="1" applyFont="1" applyFill="1" applyBorder="1" applyAlignment="1" applyProtection="1">
      <alignment horizontal="center"/>
      <protection locked="0"/>
    </xf>
    <xf numFmtId="0" fontId="5" fillId="15" borderId="695" xfId="1" applyFont="1" applyFill="1" applyBorder="1" applyAlignment="1" applyProtection="1">
      <alignment horizontal="center"/>
      <protection locked="0"/>
    </xf>
    <xf numFmtId="0" fontId="5" fillId="15" borderId="696" xfId="1" applyFont="1" applyFill="1" applyBorder="1" applyAlignment="1" applyProtection="1">
      <alignment horizontal="center"/>
      <protection locked="0"/>
    </xf>
    <xf numFmtId="0" fontId="175" fillId="9" borderId="694" xfId="1" applyFont="1" applyFill="1" applyBorder="1" applyAlignment="1" applyProtection="1">
      <alignment horizontal="center"/>
      <protection locked="0"/>
    </xf>
    <xf numFmtId="0" fontId="5" fillId="9" borderId="695" xfId="1" applyFont="1" applyFill="1" applyBorder="1" applyAlignment="1" applyProtection="1">
      <alignment horizontal="center"/>
      <protection locked="0"/>
    </xf>
    <xf numFmtId="0" fontId="5" fillId="9" borderId="696" xfId="1" applyFont="1" applyFill="1" applyBorder="1" applyAlignment="1" applyProtection="1">
      <alignment horizontal="center"/>
      <protection locked="0"/>
    </xf>
    <xf numFmtId="0" fontId="5" fillId="16" borderId="691" xfId="1" applyFont="1" applyFill="1" applyBorder="1" applyProtection="1">
      <protection locked="0"/>
    </xf>
    <xf numFmtId="164" fontId="5" fillId="0" borderId="641" xfId="410" applyNumberFormat="1" applyFont="1" applyBorder="1" applyAlignment="1" applyProtection="1">
      <alignment horizontal="center"/>
      <protection hidden="1"/>
    </xf>
    <xf numFmtId="1" fontId="5" fillId="0" borderId="301" xfId="1" applyNumberFormat="1" applyFont="1" applyBorder="1" applyAlignment="1" applyProtection="1">
      <alignment horizontal="center"/>
      <protection hidden="1"/>
    </xf>
    <xf numFmtId="1" fontId="5" fillId="0" borderId="641" xfId="1" applyNumberFormat="1" applyFont="1" applyBorder="1" applyAlignment="1" applyProtection="1">
      <alignment horizontal="center"/>
      <protection hidden="1"/>
    </xf>
    <xf numFmtId="164" fontId="37" fillId="0" borderId="494" xfId="410" applyNumberFormat="1" applyFont="1" applyBorder="1" applyAlignment="1" applyProtection="1">
      <alignment horizontal="center"/>
      <protection hidden="1"/>
    </xf>
    <xf numFmtId="164" fontId="44" fillId="3" borderId="595" xfId="1" applyNumberFormat="1" applyFont="1" applyFill="1" applyBorder="1" applyAlignment="1" applyProtection="1">
      <alignment horizontal="center"/>
      <protection hidden="1"/>
    </xf>
    <xf numFmtId="164" fontId="44" fillId="3" borderId="342" xfId="1" applyNumberFormat="1" applyFont="1" applyFill="1" applyBorder="1" applyAlignment="1" applyProtection="1">
      <alignment horizontal="center"/>
      <protection hidden="1"/>
    </xf>
    <xf numFmtId="164" fontId="44" fillId="3" borderId="526" xfId="1" applyNumberFormat="1" applyFont="1" applyFill="1" applyBorder="1" applyAlignment="1" applyProtection="1">
      <alignment horizontal="center"/>
      <protection hidden="1"/>
    </xf>
    <xf numFmtId="165" fontId="35" fillId="3" borderId="631" xfId="2" applyNumberFormat="1" applyFont="1" applyFill="1" applyBorder="1" applyAlignment="1" applyProtection="1">
      <alignment horizontal="left"/>
      <protection hidden="1"/>
    </xf>
    <xf numFmtId="165" fontId="35" fillId="3" borderId="654" xfId="2" applyNumberFormat="1" applyFont="1" applyFill="1" applyBorder="1" applyAlignment="1" applyProtection="1">
      <protection hidden="1"/>
    </xf>
    <xf numFmtId="165" fontId="37" fillId="3" borderId="631" xfId="2" applyNumberFormat="1" applyFont="1" applyFill="1" applyBorder="1" applyAlignment="1" applyProtection="1">
      <alignment horizontal="left"/>
      <protection hidden="1"/>
    </xf>
    <xf numFmtId="165" fontId="37" fillId="3" borderId="654" xfId="2" applyNumberFormat="1" applyFont="1" applyFill="1" applyBorder="1" applyAlignment="1" applyProtection="1">
      <protection hidden="1"/>
    </xf>
    <xf numFmtId="2" fontId="39" fillId="2" borderId="655" xfId="1" applyNumberFormat="1" applyFont="1" applyFill="1" applyBorder="1" applyProtection="1">
      <protection hidden="1"/>
    </xf>
    <xf numFmtId="165" fontId="177" fillId="3" borderId="631" xfId="2" applyNumberFormat="1" applyFont="1" applyFill="1" applyBorder="1" applyAlignment="1" applyProtection="1">
      <alignment horizontal="left"/>
      <protection hidden="1"/>
    </xf>
    <xf numFmtId="165" fontId="41" fillId="3" borderId="654" xfId="2" applyNumberFormat="1" applyFont="1" applyFill="1" applyBorder="1" applyAlignment="1" applyProtection="1">
      <protection hidden="1"/>
    </xf>
    <xf numFmtId="0" fontId="20" fillId="2" borderId="640" xfId="411" applyFont="1" applyFill="1" applyBorder="1" applyAlignment="1" applyProtection="1">
      <alignment horizontal="center"/>
      <protection hidden="1"/>
    </xf>
    <xf numFmtId="164" fontId="1" fillId="5" borderId="628" xfId="4" applyNumberFormat="1" applyFont="1" applyFill="1" applyBorder="1" applyAlignment="1" applyProtection="1">
      <alignment horizontal="center"/>
      <protection locked="0"/>
    </xf>
    <xf numFmtId="2" fontId="1" fillId="3" borderId="628" xfId="4" applyNumberFormat="1" applyFont="1" applyFill="1" applyBorder="1" applyAlignment="1" applyProtection="1">
      <alignment horizontal="center"/>
      <protection hidden="1"/>
    </xf>
    <xf numFmtId="164" fontId="1" fillId="5" borderId="628" xfId="411" applyNumberFormat="1" applyFill="1" applyBorder="1" applyAlignment="1" applyProtection="1">
      <alignment horizontal="center" wrapText="1"/>
      <protection locked="0"/>
    </xf>
    <xf numFmtId="2" fontId="204" fillId="3" borderId="628" xfId="4" applyNumberFormat="1" applyFont="1" applyFill="1" applyBorder="1" applyAlignment="1" applyProtection="1">
      <alignment horizontal="center"/>
      <protection hidden="1"/>
    </xf>
    <xf numFmtId="2" fontId="222" fillId="16" borderId="628" xfId="429" applyNumberFormat="1" applyFont="1" applyFill="1" applyBorder="1" applyAlignment="1" applyProtection="1">
      <alignment horizontal="center"/>
      <protection locked="0"/>
    </xf>
    <xf numFmtId="2" fontId="222" fillId="16" borderId="656" xfId="429" applyNumberFormat="1" applyFont="1" applyFill="1" applyBorder="1" applyAlignment="1" applyProtection="1">
      <alignment horizontal="right"/>
      <protection locked="0"/>
    </xf>
    <xf numFmtId="0" fontId="136" fillId="4" borderId="656" xfId="424" applyFont="1" applyFill="1" applyBorder="1" applyAlignment="1" applyProtection="1">
      <protection hidden="1"/>
    </xf>
    <xf numFmtId="0" fontId="222" fillId="16" borderId="640" xfId="429" applyFont="1" applyFill="1" applyBorder="1" applyAlignment="1" applyProtection="1">
      <alignment horizontal="right"/>
      <protection locked="0"/>
    </xf>
    <xf numFmtId="0" fontId="222" fillId="4" borderId="640" xfId="429" applyFont="1" applyFill="1" applyBorder="1" applyAlignment="1" applyProtection="1">
      <protection hidden="1"/>
    </xf>
    <xf numFmtId="0" fontId="295" fillId="16" borderId="640" xfId="429" applyNumberFormat="1" applyFont="1" applyFill="1" applyBorder="1" applyAlignment="1" applyProtection="1">
      <alignment horizontal="right"/>
      <protection locked="0"/>
    </xf>
    <xf numFmtId="0" fontId="222" fillId="16" borderId="640" xfId="429" applyNumberFormat="1" applyFont="1" applyFill="1" applyBorder="1" applyAlignment="1" applyProtection="1">
      <alignment horizontal="right"/>
      <protection locked="0"/>
    </xf>
    <xf numFmtId="1" fontId="222" fillId="4" borderId="656" xfId="429" applyNumberFormat="1" applyFont="1" applyFill="1" applyBorder="1" applyAlignment="1" applyProtection="1">
      <protection hidden="1"/>
    </xf>
    <xf numFmtId="0" fontId="222" fillId="4" borderId="656" xfId="429" applyFont="1" applyFill="1" applyBorder="1" applyAlignment="1" applyProtection="1">
      <protection hidden="1"/>
    </xf>
    <xf numFmtId="1" fontId="1" fillId="0" borderId="469" xfId="429" applyNumberFormat="1" applyFont="1" applyBorder="1" applyAlignment="1" applyProtection="1">
      <alignment horizontal="right"/>
      <protection hidden="1"/>
    </xf>
    <xf numFmtId="1" fontId="222" fillId="4" borderId="640" xfId="429" applyNumberFormat="1" applyFont="1" applyFill="1" applyBorder="1" applyAlignment="1" applyProtection="1">
      <protection hidden="1"/>
    </xf>
    <xf numFmtId="2" fontId="20" fillId="6" borderId="628" xfId="411" applyNumberFormat="1" applyFont="1" applyFill="1" applyBorder="1" applyAlignment="1" applyProtection="1">
      <alignment horizontal="center"/>
      <protection locked="0"/>
    </xf>
    <xf numFmtId="2" fontId="294" fillId="5" borderId="628" xfId="411" applyNumberFormat="1" applyFont="1" applyFill="1" applyBorder="1" applyAlignment="1" applyProtection="1">
      <alignment horizontal="center"/>
      <protection locked="0"/>
    </xf>
    <xf numFmtId="170" fontId="220" fillId="3" borderId="595" xfId="411" applyNumberFormat="1" applyFont="1" applyFill="1" applyBorder="1" applyAlignment="1" applyProtection="1">
      <alignment horizontal="center" wrapText="1"/>
      <protection hidden="1"/>
    </xf>
    <xf numFmtId="0" fontId="220" fillId="3" borderId="656" xfId="4" applyFont="1" applyFill="1" applyBorder="1" applyAlignment="1" applyProtection="1">
      <alignment horizontal="center"/>
      <protection hidden="1"/>
    </xf>
    <xf numFmtId="0" fontId="220" fillId="3" borderId="641" xfId="4" applyFont="1" applyFill="1" applyBorder="1" applyAlignment="1" applyProtection="1">
      <alignment horizontal="center"/>
      <protection hidden="1"/>
    </xf>
    <xf numFmtId="0" fontId="220" fillId="3" borderId="640" xfId="4" applyFont="1" applyFill="1" applyBorder="1" applyAlignment="1" applyProtection="1">
      <alignment horizontal="center"/>
      <protection hidden="1"/>
    </xf>
    <xf numFmtId="0" fontId="220" fillId="3" borderId="641" xfId="411" applyFont="1" applyFill="1" applyBorder="1" applyAlignment="1" applyProtection="1">
      <alignment horizontal="center"/>
      <protection hidden="1"/>
    </xf>
    <xf numFmtId="165" fontId="294" fillId="3" borderId="640" xfId="411" applyNumberFormat="1" applyFont="1" applyFill="1" applyBorder="1" applyAlignment="1" applyProtection="1">
      <alignment horizontal="center" wrapText="1"/>
      <protection hidden="1"/>
    </xf>
    <xf numFmtId="2" fontId="294" fillId="3" borderId="640" xfId="411" applyNumberFormat="1" applyFont="1" applyFill="1" applyBorder="1" applyAlignment="1" applyProtection="1">
      <alignment horizontal="center" wrapText="1"/>
      <protection hidden="1"/>
    </xf>
    <xf numFmtId="166" fontId="300" fillId="3" borderId="640" xfId="411" applyNumberFormat="1" applyFont="1" applyFill="1" applyBorder="1" applyAlignment="1" applyProtection="1">
      <alignment horizontal="center" wrapText="1"/>
      <protection hidden="1"/>
    </xf>
    <xf numFmtId="0" fontId="300" fillId="3" borderId="640" xfId="411" applyFont="1" applyFill="1" applyBorder="1" applyAlignment="1" applyProtection="1">
      <alignment horizontal="center" wrapText="1"/>
      <protection hidden="1"/>
    </xf>
    <xf numFmtId="2" fontId="136" fillId="5" borderId="628" xfId="411" applyNumberFormat="1" applyFont="1" applyFill="1" applyBorder="1" applyAlignment="1" applyProtection="1">
      <alignment horizontal="center" wrapText="1"/>
      <protection locked="0"/>
    </xf>
    <xf numFmtId="0" fontId="136" fillId="5" borderId="628" xfId="411" applyFont="1" applyFill="1" applyBorder="1" applyAlignment="1" applyProtection="1">
      <alignment horizontal="center"/>
      <protection locked="0"/>
    </xf>
    <xf numFmtId="166" fontId="295" fillId="3" borderId="656" xfId="4" applyNumberFormat="1" applyFont="1" applyFill="1" applyBorder="1" applyAlignment="1" applyProtection="1">
      <alignment horizontal="center"/>
      <protection hidden="1"/>
    </xf>
    <xf numFmtId="2" fontId="295" fillId="3" borderId="595" xfId="411" applyNumberFormat="1" applyFont="1" applyFill="1" applyBorder="1" applyAlignment="1" applyProtection="1">
      <alignment horizontal="center"/>
      <protection hidden="1"/>
    </xf>
    <xf numFmtId="166" fontId="300" fillId="3" borderId="656" xfId="4" applyNumberFormat="1" applyFont="1" applyFill="1" applyBorder="1" applyAlignment="1" applyProtection="1">
      <alignment horizontal="center"/>
      <protection hidden="1"/>
    </xf>
    <xf numFmtId="2" fontId="300" fillId="3" borderId="656" xfId="411" applyNumberFormat="1" applyFont="1" applyFill="1" applyBorder="1" applyAlignment="1" applyProtection="1">
      <alignment horizontal="center"/>
      <protection hidden="1"/>
    </xf>
    <xf numFmtId="166" fontId="295" fillId="3" borderId="628" xfId="4" applyNumberFormat="1" applyFont="1" applyFill="1" applyBorder="1" applyAlignment="1" applyProtection="1">
      <alignment horizontal="center"/>
      <protection hidden="1"/>
    </xf>
    <xf numFmtId="164" fontId="295" fillId="3" borderId="628" xfId="4" applyNumberFormat="1" applyFont="1" applyFill="1" applyBorder="1" applyAlignment="1" applyProtection="1">
      <alignment horizontal="center"/>
      <protection hidden="1"/>
    </xf>
    <xf numFmtId="166" fontId="300" fillId="3" borderId="628" xfId="4" applyNumberFormat="1" applyFont="1" applyFill="1" applyBorder="1" applyAlignment="1" applyProtection="1">
      <alignment horizontal="center"/>
      <protection hidden="1"/>
    </xf>
    <xf numFmtId="164" fontId="300" fillId="3" borderId="628" xfId="4" applyNumberFormat="1" applyFont="1" applyFill="1" applyBorder="1" applyAlignment="1" applyProtection="1">
      <alignment horizontal="center"/>
      <protection hidden="1"/>
    </xf>
    <xf numFmtId="0" fontId="221" fillId="3" borderId="628" xfId="429" applyFont="1" applyFill="1" applyBorder="1" applyAlignment="1" applyProtection="1">
      <alignment horizontal="center"/>
      <protection hidden="1"/>
    </xf>
    <xf numFmtId="0" fontId="1" fillId="3" borderId="628" xfId="429" applyFont="1" applyFill="1" applyBorder="1" applyAlignment="1" applyProtection="1">
      <alignment horizontal="center"/>
      <protection hidden="1"/>
    </xf>
    <xf numFmtId="2" fontId="1" fillId="5" borderId="628" xfId="429" applyNumberFormat="1" applyFont="1" applyFill="1" applyBorder="1" applyAlignment="1" applyProtection="1">
      <alignment horizontal="center"/>
      <protection locked="0"/>
    </xf>
    <xf numFmtId="0" fontId="1" fillId="5" borderId="628" xfId="429" applyFont="1" applyFill="1" applyBorder="1" applyAlignment="1" applyProtection="1">
      <alignment horizontal="center"/>
      <protection locked="0"/>
    </xf>
    <xf numFmtId="164" fontId="221" fillId="3" borderId="628" xfId="429" applyNumberFormat="1" applyFont="1" applyFill="1" applyBorder="1" applyAlignment="1" applyProtection="1">
      <alignment horizontal="center"/>
      <protection hidden="1"/>
    </xf>
    <xf numFmtId="2" fontId="1" fillId="0" borderId="628" xfId="429" applyNumberFormat="1" applyFont="1" applyBorder="1" applyAlignment="1" applyProtection="1">
      <alignment horizontal="center"/>
      <protection hidden="1"/>
    </xf>
    <xf numFmtId="166" fontId="1" fillId="3" borderId="628" xfId="2144" applyNumberFormat="1" applyFont="1" applyFill="1" applyBorder="1" applyAlignment="1" applyProtection="1">
      <alignment horizontal="center"/>
      <protection hidden="1"/>
    </xf>
    <xf numFmtId="2" fontId="1" fillId="3" borderId="628" xfId="411" applyNumberFormat="1" applyFill="1" applyBorder="1" applyAlignment="1" applyProtection="1">
      <alignment horizontal="center"/>
      <protection hidden="1"/>
    </xf>
    <xf numFmtId="0" fontId="136" fillId="0" borderId="85" xfId="1" applyFont="1" applyBorder="1" applyAlignment="1" applyProtection="1">
      <alignment horizontal="center"/>
      <protection hidden="1"/>
    </xf>
    <xf numFmtId="0" fontId="166" fillId="12" borderId="85" xfId="1" applyFont="1" applyFill="1" applyBorder="1" applyAlignment="1" applyProtection="1">
      <alignment horizontal="center"/>
      <protection hidden="1"/>
    </xf>
    <xf numFmtId="0" fontId="220" fillId="73" borderId="85" xfId="1" applyFont="1" applyFill="1" applyBorder="1" applyAlignment="1" applyProtection="1">
      <alignment horizontal="center" wrapText="1"/>
      <protection hidden="1"/>
    </xf>
    <xf numFmtId="0" fontId="220" fillId="75" borderId="85" xfId="1" applyFont="1" applyFill="1" applyBorder="1" applyAlignment="1" applyProtection="1">
      <alignment horizontal="center" wrapText="1"/>
      <protection hidden="1"/>
    </xf>
    <xf numFmtId="0" fontId="220" fillId="76" borderId="85" xfId="1" applyFont="1" applyFill="1" applyBorder="1" applyAlignment="1" applyProtection="1">
      <protection hidden="1"/>
    </xf>
    <xf numFmtId="0" fontId="136" fillId="5" borderId="85" xfId="1" applyFont="1" applyFill="1" applyBorder="1" applyAlignment="1" applyProtection="1">
      <alignment horizontal="center" wrapText="1"/>
      <protection locked="0"/>
    </xf>
    <xf numFmtId="0" fontId="136" fillId="16" borderId="85" xfId="1" applyFont="1" applyFill="1" applyBorder="1" applyAlignment="1" applyProtection="1">
      <protection locked="0"/>
    </xf>
    <xf numFmtId="0" fontId="136" fillId="5" borderId="85" xfId="1" applyFont="1" applyFill="1" applyBorder="1" applyAlignment="1" applyProtection="1">
      <alignment horizontal="center" vertical="center" wrapText="1"/>
      <protection locked="0"/>
    </xf>
    <xf numFmtId="0" fontId="136" fillId="16" borderId="85" xfId="1" applyFont="1" applyFill="1" applyBorder="1" applyAlignment="1" applyProtection="1">
      <alignment vertical="center"/>
      <protection locked="0"/>
    </xf>
    <xf numFmtId="0" fontId="136" fillId="5" borderId="85" xfId="1" applyFont="1" applyFill="1" applyBorder="1" applyAlignment="1" applyProtection="1">
      <alignment horizontal="center"/>
      <protection locked="0"/>
    </xf>
    <xf numFmtId="0" fontId="136" fillId="16" borderId="85" xfId="428" applyFont="1" applyFill="1" applyBorder="1" applyAlignment="1" applyProtection="1">
      <protection locked="0"/>
    </xf>
    <xf numFmtId="0" fontId="44" fillId="0" borderId="85" xfId="1" applyFont="1" applyBorder="1" applyAlignment="1" applyProtection="1">
      <alignment horizontal="center"/>
      <protection hidden="1"/>
    </xf>
    <xf numFmtId="49" fontId="44" fillId="0" borderId="85" xfId="1" applyNumberFormat="1" applyFont="1" applyBorder="1" applyAlignment="1" applyProtection="1">
      <alignment horizontal="center"/>
      <protection hidden="1"/>
    </xf>
    <xf numFmtId="0" fontId="136" fillId="12" borderId="85" xfId="1" applyFont="1" applyFill="1" applyBorder="1" applyAlignment="1" applyProtection="1">
      <alignment horizontal="center"/>
      <protection hidden="1"/>
    </xf>
    <xf numFmtId="49" fontId="316" fillId="12" borderId="85" xfId="1" applyNumberFormat="1" applyFont="1" applyFill="1" applyBorder="1" applyAlignment="1" applyProtection="1">
      <alignment horizontal="center"/>
      <protection hidden="1"/>
    </xf>
    <xf numFmtId="1" fontId="136" fillId="12" borderId="85" xfId="1" applyNumberFormat="1" applyFont="1" applyFill="1" applyBorder="1" applyAlignment="1" applyProtection="1">
      <alignment horizontal="center"/>
      <protection hidden="1"/>
    </xf>
    <xf numFmtId="1" fontId="136" fillId="0" borderId="85" xfId="1" applyNumberFormat="1" applyFont="1" applyFill="1" applyBorder="1" applyAlignment="1" applyProtection="1">
      <alignment horizontal="center"/>
      <protection hidden="1"/>
    </xf>
    <xf numFmtId="1" fontId="136" fillId="74" borderId="85" xfId="1" applyNumberFormat="1" applyFont="1" applyFill="1" applyBorder="1" applyAlignment="1" applyProtection="1">
      <alignment horizontal="center"/>
      <protection hidden="1"/>
    </xf>
    <xf numFmtId="1" fontId="136" fillId="0" borderId="85" xfId="2" applyNumberFormat="1" applyFont="1" applyBorder="1" applyAlignment="1" applyProtection="1">
      <alignment horizontal="center"/>
      <protection hidden="1"/>
    </xf>
    <xf numFmtId="1" fontId="220" fillId="0" borderId="85" xfId="2" applyNumberFormat="1" applyFont="1" applyBorder="1" applyAlignment="1" applyProtection="1">
      <alignment horizontal="center"/>
      <protection hidden="1"/>
    </xf>
    <xf numFmtId="173" fontId="220" fillId="10" borderId="85" xfId="2" applyNumberFormat="1" applyFont="1" applyFill="1" applyBorder="1" applyAlignment="1" applyProtection="1">
      <alignment horizontal="center"/>
      <protection hidden="1"/>
    </xf>
    <xf numFmtId="164" fontId="136" fillId="0" borderId="85" xfId="1" applyNumberFormat="1" applyFont="1" applyBorder="1" applyAlignment="1" applyProtection="1">
      <alignment horizontal="center"/>
      <protection hidden="1"/>
    </xf>
    <xf numFmtId="0" fontId="136" fillId="0" borderId="85" xfId="1" applyFont="1" applyBorder="1" applyAlignment="1" applyProtection="1">
      <alignment wrapText="1"/>
      <protection hidden="1"/>
    </xf>
    <xf numFmtId="0" fontId="220" fillId="0" borderId="85" xfId="1" applyFont="1" applyBorder="1" applyAlignment="1" applyProtection="1">
      <protection hidden="1"/>
    </xf>
    <xf numFmtId="0" fontId="136" fillId="12" borderId="85" xfId="1" applyFont="1" applyFill="1" applyBorder="1" applyAlignment="1" applyProtection="1">
      <protection hidden="1"/>
    </xf>
    <xf numFmtId="0" fontId="220" fillId="3" borderId="85" xfId="1" applyFont="1" applyFill="1" applyBorder="1" applyAlignment="1" applyProtection="1">
      <protection hidden="1"/>
    </xf>
    <xf numFmtId="0" fontId="14" fillId="6" borderId="628" xfId="2" applyFont="1" applyFill="1" applyBorder="1" applyAlignment="1" applyProtection="1">
      <alignment horizontal="left"/>
      <protection locked="0"/>
    </xf>
    <xf numFmtId="0" fontId="59" fillId="3" borderId="656" xfId="2" applyFont="1" applyFill="1" applyBorder="1" applyAlignment="1" applyProtection="1">
      <alignment horizontal="center"/>
      <protection hidden="1"/>
    </xf>
    <xf numFmtId="0" fontId="5" fillId="2" borderId="640" xfId="2" applyFont="1" applyFill="1" applyBorder="1" applyAlignment="1" applyProtection="1">
      <alignment horizontal="right"/>
      <protection hidden="1"/>
    </xf>
    <xf numFmtId="0" fontId="5" fillId="5" borderId="640" xfId="2" applyFill="1" applyBorder="1" applyAlignment="1" applyProtection="1">
      <alignment horizontal="center"/>
      <protection locked="0"/>
    </xf>
    <xf numFmtId="0" fontId="5" fillId="2" borderId="640" xfId="2" applyFill="1" applyBorder="1" applyProtection="1">
      <protection hidden="1"/>
    </xf>
    <xf numFmtId="0" fontId="5" fillId="4" borderId="640" xfId="429" applyFont="1" applyFill="1" applyBorder="1" applyProtection="1">
      <protection hidden="1"/>
    </xf>
    <xf numFmtId="0" fontId="44" fillId="6" borderId="640" xfId="2" applyFont="1" applyFill="1" applyBorder="1" applyAlignment="1" applyProtection="1">
      <alignment horizontal="center"/>
      <protection locked="0"/>
    </xf>
    <xf numFmtId="0" fontId="15" fillId="0" borderId="640" xfId="3" applyFont="1" applyBorder="1" applyAlignment="1" applyProtection="1">
      <alignment horizontal="left"/>
      <protection hidden="1"/>
    </xf>
    <xf numFmtId="0" fontId="44" fillId="5" borderId="640" xfId="429" applyFont="1" applyFill="1" applyBorder="1" applyAlignment="1" applyProtection="1">
      <alignment horizontal="center"/>
      <protection locked="0"/>
    </xf>
    <xf numFmtId="166" fontId="44" fillId="2" borderId="640" xfId="2" applyNumberFormat="1" applyFont="1" applyFill="1" applyBorder="1" applyAlignment="1" applyProtection="1">
      <alignment horizontal="center"/>
      <protection hidden="1"/>
    </xf>
    <xf numFmtId="0" fontId="230" fillId="2" borderId="640" xfId="2" applyFont="1" applyFill="1" applyBorder="1" applyAlignment="1" applyProtection="1">
      <protection hidden="1"/>
    </xf>
    <xf numFmtId="2" fontId="44" fillId="2" borderId="640" xfId="2" applyNumberFormat="1" applyFont="1" applyFill="1" applyBorder="1" applyAlignment="1" applyProtection="1">
      <alignment horizontal="center"/>
      <protection hidden="1"/>
    </xf>
    <xf numFmtId="0" fontId="44" fillId="60" borderId="640" xfId="2" applyFont="1" applyFill="1" applyBorder="1" applyAlignment="1" applyProtection="1">
      <alignment horizontal="left"/>
      <protection hidden="1"/>
    </xf>
    <xf numFmtId="164" fontId="233" fillId="3" borderId="640" xfId="429" applyNumberFormat="1" applyFont="1" applyFill="1" applyBorder="1" applyAlignment="1" applyProtection="1">
      <alignment horizontal="center"/>
      <protection hidden="1"/>
    </xf>
    <xf numFmtId="0" fontId="5" fillId="2" borderId="640" xfId="2" applyFont="1" applyFill="1" applyBorder="1" applyProtection="1">
      <protection hidden="1"/>
    </xf>
    <xf numFmtId="164" fontId="234" fillId="3" borderId="640" xfId="429" applyNumberFormat="1" applyFont="1" applyFill="1" applyBorder="1" applyAlignment="1" applyProtection="1">
      <alignment horizontal="center"/>
      <protection hidden="1"/>
    </xf>
    <xf numFmtId="164" fontId="234" fillId="3" borderId="640" xfId="2" applyNumberFormat="1" applyFont="1" applyFill="1" applyBorder="1" applyAlignment="1" applyProtection="1">
      <alignment horizontal="center"/>
      <protection hidden="1"/>
    </xf>
    <xf numFmtId="0" fontId="15" fillId="0" borderId="172" xfId="3" applyFont="1" applyBorder="1" applyAlignment="1" applyProtection="1">
      <alignment horizontal="left"/>
      <protection hidden="1"/>
    </xf>
    <xf numFmtId="164" fontId="51" fillId="3" borderId="640" xfId="2" applyNumberFormat="1" applyFont="1" applyFill="1" applyBorder="1" applyAlignment="1" applyProtection="1">
      <alignment horizontal="center"/>
      <protection hidden="1"/>
    </xf>
    <xf numFmtId="164" fontId="27" fillId="3" borderId="640" xfId="2" applyNumberFormat="1" applyFont="1" applyFill="1" applyBorder="1" applyAlignment="1" applyProtection="1">
      <alignment horizontal="center"/>
      <protection hidden="1"/>
    </xf>
    <xf numFmtId="1" fontId="52" fillId="3" borderId="640" xfId="2" applyNumberFormat="1" applyFont="1" applyFill="1" applyBorder="1" applyProtection="1">
      <protection hidden="1"/>
    </xf>
    <xf numFmtId="1" fontId="52" fillId="3" borderId="640" xfId="429" applyNumberFormat="1" applyFont="1" applyFill="1" applyBorder="1" applyAlignment="1" applyProtection="1">
      <alignment horizontal="center"/>
      <protection hidden="1"/>
    </xf>
    <xf numFmtId="164" fontId="52" fillId="3" borderId="171" xfId="2" applyNumberFormat="1" applyFont="1" applyFill="1" applyBorder="1" applyProtection="1">
      <protection hidden="1"/>
    </xf>
    <xf numFmtId="1" fontId="102" fillId="3" borderId="640" xfId="2" applyNumberFormat="1" applyFont="1" applyFill="1" applyBorder="1" applyProtection="1">
      <protection hidden="1"/>
    </xf>
    <xf numFmtId="1" fontId="102" fillId="3" borderId="640" xfId="429" applyNumberFormat="1" applyFont="1" applyFill="1" applyBorder="1" applyAlignment="1" applyProtection="1">
      <alignment horizontal="center"/>
      <protection hidden="1"/>
    </xf>
    <xf numFmtId="164" fontId="52" fillId="3" borderId="640" xfId="2" applyNumberFormat="1" applyFont="1" applyFill="1" applyBorder="1" applyProtection="1">
      <protection hidden="1"/>
    </xf>
    <xf numFmtId="164" fontId="52" fillId="3" borderId="640" xfId="429" applyNumberFormat="1" applyFont="1" applyFill="1" applyBorder="1" applyAlignment="1" applyProtection="1">
      <alignment horizontal="center"/>
      <protection hidden="1"/>
    </xf>
    <xf numFmtId="0" fontId="5" fillId="3" borderId="628" xfId="2" applyFont="1" applyFill="1" applyBorder="1" applyAlignment="1" applyProtection="1">
      <protection hidden="1"/>
    </xf>
    <xf numFmtId="164" fontId="77" fillId="13" borderId="656" xfId="2" applyNumberFormat="1" applyFont="1" applyFill="1" applyBorder="1" applyAlignment="1" applyProtection="1">
      <alignment horizontal="center"/>
      <protection locked="0"/>
    </xf>
    <xf numFmtId="164" fontId="77" fillId="13" borderId="640" xfId="2" applyNumberFormat="1" applyFont="1" applyFill="1" applyBorder="1" applyAlignment="1" applyProtection="1">
      <alignment horizontal="center"/>
      <protection locked="0"/>
    </xf>
    <xf numFmtId="164" fontId="5" fillId="3" borderId="656" xfId="2" applyNumberFormat="1" applyFill="1" applyBorder="1" applyAlignment="1" applyProtection="1">
      <alignment horizontal="center"/>
      <protection hidden="1"/>
    </xf>
    <xf numFmtId="0" fontId="5" fillId="16" borderId="628" xfId="2" applyNumberFormat="1" applyFont="1" applyFill="1" applyBorder="1" applyAlignment="1" applyProtection="1">
      <alignment horizontal="center"/>
      <protection locked="0"/>
    </xf>
    <xf numFmtId="0" fontId="1" fillId="0" borderId="641" xfId="198" applyFont="1" applyBorder="1"/>
    <xf numFmtId="0" fontId="66" fillId="0" borderId="0" xfId="198" applyFont="1" applyBorder="1" applyAlignment="1">
      <alignment horizontal="center"/>
    </xf>
    <xf numFmtId="164" fontId="5" fillId="0" borderId="0" xfId="1" applyNumberFormat="1" applyFont="1" applyFill="1" applyProtection="1">
      <protection hidden="1"/>
    </xf>
    <xf numFmtId="0" fontId="5" fillId="14" borderId="709" xfId="2" applyFill="1" applyBorder="1" applyProtection="1">
      <protection hidden="1"/>
    </xf>
    <xf numFmtId="0" fontId="5" fillId="14" borderId="641" xfId="2" applyFill="1" applyBorder="1" applyProtection="1">
      <protection hidden="1"/>
    </xf>
    <xf numFmtId="0" fontId="5" fillId="10" borderId="655" xfId="2" applyFont="1" applyFill="1" applyBorder="1" applyAlignment="1" applyProtection="1">
      <alignment horizontal="center"/>
      <protection hidden="1"/>
    </xf>
    <xf numFmtId="166" fontId="5" fillId="3" borderId="654" xfId="2" applyNumberFormat="1" applyFont="1" applyFill="1" applyBorder="1" applyAlignment="1" applyProtection="1">
      <alignment horizontal="center"/>
      <protection hidden="1"/>
    </xf>
    <xf numFmtId="166" fontId="5" fillId="10" borderId="628" xfId="2" applyNumberFormat="1" applyFill="1" applyBorder="1" applyAlignment="1" applyProtection="1">
      <alignment horizontal="center" wrapText="1"/>
      <protection hidden="1"/>
    </xf>
    <xf numFmtId="0" fontId="1" fillId="4" borderId="301" xfId="410" applyFont="1" applyFill="1" applyBorder="1" applyAlignment="1" applyProtection="1">
      <alignment horizontal="center"/>
      <protection hidden="1"/>
    </xf>
    <xf numFmtId="166" fontId="5" fillId="10" borderId="628" xfId="2" applyNumberFormat="1" applyFill="1" applyBorder="1" applyAlignment="1" applyProtection="1">
      <alignment horizontal="center"/>
      <protection hidden="1"/>
    </xf>
    <xf numFmtId="0" fontId="5" fillId="10" borderId="628" xfId="2" applyNumberFormat="1" applyFont="1" applyFill="1" applyBorder="1" applyAlignment="1" applyProtection="1">
      <alignment horizontal="center" wrapText="1"/>
      <protection hidden="1"/>
    </xf>
    <xf numFmtId="0" fontId="44" fillId="4" borderId="0" xfId="429" applyFont="1" applyFill="1" applyBorder="1" applyAlignment="1" applyProtection="1">
      <alignment horizontal="left"/>
      <protection hidden="1"/>
    </xf>
    <xf numFmtId="0" fontId="5" fillId="4" borderId="0" xfId="1" applyFont="1" applyFill="1" applyProtection="1">
      <protection hidden="1"/>
    </xf>
    <xf numFmtId="0" fontId="5" fillId="2" borderId="0" xfId="2" applyFill="1" applyAlignment="1" applyProtection="1">
      <alignment horizontal="right" wrapText="1"/>
      <protection hidden="1"/>
    </xf>
    <xf numFmtId="2" fontId="119" fillId="2" borderId="0" xfId="2" applyNumberFormat="1" applyFont="1" applyFill="1" applyAlignment="1" applyProtection="1">
      <alignment horizontal="center" vertical="center" wrapText="1"/>
      <protection hidden="1"/>
    </xf>
    <xf numFmtId="0" fontId="44" fillId="4" borderId="0" xfId="410" applyFont="1" applyFill="1" applyAlignment="1" applyProtection="1">
      <alignment vertical="top" wrapText="1"/>
      <protection hidden="1"/>
    </xf>
    <xf numFmtId="0" fontId="5" fillId="14" borderId="711" xfId="2" applyFill="1" applyBorder="1" applyProtection="1">
      <protection hidden="1"/>
    </xf>
    <xf numFmtId="0" fontId="5" fillId="14" borderId="712" xfId="2" applyFill="1" applyBorder="1" applyAlignment="1" applyProtection="1">
      <alignment horizontal="left"/>
      <protection hidden="1"/>
    </xf>
    <xf numFmtId="0" fontId="5" fillId="14" borderId="678" xfId="2" applyFill="1" applyBorder="1" applyProtection="1">
      <protection hidden="1"/>
    </xf>
    <xf numFmtId="0" fontId="5" fillId="14" borderId="714" xfId="2" applyFill="1" applyBorder="1" applyAlignment="1" applyProtection="1">
      <alignment horizontal="left"/>
      <protection hidden="1"/>
    </xf>
    <xf numFmtId="0" fontId="5" fillId="14" borderId="714" xfId="2" applyFill="1" applyBorder="1" applyAlignment="1" applyProtection="1">
      <protection hidden="1"/>
    </xf>
    <xf numFmtId="0" fontId="5" fillId="14" borderId="713" xfId="2" applyFill="1" applyBorder="1" applyAlignment="1" applyProtection="1">
      <protection hidden="1"/>
    </xf>
    <xf numFmtId="0" fontId="136" fillId="0" borderId="0" xfId="0" applyFont="1" applyBorder="1" applyProtection="1">
      <protection hidden="1"/>
    </xf>
    <xf numFmtId="0" fontId="5" fillId="14" borderId="717" xfId="2" applyFill="1" applyBorder="1" applyAlignment="1" applyProtection="1">
      <alignment horizontal="left"/>
      <protection hidden="1"/>
    </xf>
    <xf numFmtId="0" fontId="5" fillId="14" borderId="718" xfId="2" applyFill="1" applyBorder="1" applyProtection="1">
      <protection hidden="1"/>
    </xf>
    <xf numFmtId="0" fontId="5" fillId="14" borderId="719" xfId="2" applyFill="1" applyBorder="1" applyAlignment="1" applyProtection="1">
      <alignment horizontal="left"/>
      <protection hidden="1"/>
    </xf>
    <xf numFmtId="0" fontId="5" fillId="14" borderId="720" xfId="2" applyFill="1" applyBorder="1" applyProtection="1">
      <protection hidden="1"/>
    </xf>
    <xf numFmtId="0" fontId="5" fillId="14" borderId="721" xfId="2" applyFill="1" applyBorder="1" applyAlignment="1" applyProtection="1">
      <alignment horizontal="left"/>
      <protection hidden="1"/>
    </xf>
    <xf numFmtId="0" fontId="5" fillId="14" borderId="722" xfId="2" applyFill="1" applyBorder="1" applyProtection="1">
      <protection hidden="1"/>
    </xf>
    <xf numFmtId="0" fontId="9" fillId="0" borderId="628" xfId="410" applyFont="1" applyBorder="1" applyAlignment="1" applyProtection="1">
      <alignment horizontal="center"/>
      <protection hidden="1"/>
    </xf>
    <xf numFmtId="0" fontId="26" fillId="4" borderId="0" xfId="2" applyFont="1" applyFill="1" applyBorder="1" applyAlignment="1" applyProtection="1">
      <alignment horizontal="right"/>
      <protection hidden="1"/>
    </xf>
    <xf numFmtId="0" fontId="51" fillId="4" borderId="0" xfId="0" applyFont="1" applyFill="1" applyBorder="1" applyAlignment="1" applyProtection="1">
      <alignment horizontal="left" vertical="center"/>
      <protection hidden="1"/>
    </xf>
    <xf numFmtId="0" fontId="310" fillId="0" borderId="124" xfId="198" applyFont="1" applyBorder="1" applyAlignment="1" applyProtection="1">
      <alignment horizontal="center"/>
      <protection hidden="1"/>
    </xf>
    <xf numFmtId="164" fontId="310" fillId="6" borderId="127" xfId="2" applyNumberFormat="1" applyFont="1" applyFill="1" applyBorder="1" applyAlignment="1" applyProtection="1">
      <alignment horizontal="center"/>
      <protection locked="0"/>
    </xf>
    <xf numFmtId="164" fontId="310" fillId="6" borderId="15" xfId="2" applyNumberFormat="1" applyFont="1" applyFill="1" applyBorder="1" applyAlignment="1" applyProtection="1">
      <alignment horizontal="center"/>
      <protection locked="0"/>
    </xf>
    <xf numFmtId="2" fontId="310" fillId="6" borderId="128" xfId="2" applyNumberFormat="1" applyFont="1" applyFill="1" applyBorder="1" applyAlignment="1" applyProtection="1">
      <alignment horizontal="center"/>
      <protection locked="0"/>
    </xf>
    <xf numFmtId="0" fontId="310" fillId="40" borderId="15" xfId="2" applyFont="1" applyFill="1" applyBorder="1" applyAlignment="1" applyProtection="1">
      <alignment horizontal="center" vertical="center"/>
      <protection locked="0"/>
    </xf>
    <xf numFmtId="164" fontId="310" fillId="40" borderId="41" xfId="2" applyNumberFormat="1" applyFont="1" applyFill="1" applyBorder="1" applyAlignment="1" applyProtection="1">
      <alignment horizontal="center"/>
      <protection locked="0"/>
    </xf>
    <xf numFmtId="0" fontId="5" fillId="4" borderId="655" xfId="2" applyNumberFormat="1" applyFont="1" applyFill="1" applyBorder="1" applyAlignment="1" applyProtection="1">
      <alignment horizontal="center"/>
      <protection hidden="1"/>
    </xf>
    <xf numFmtId="168" fontId="5" fillId="4" borderId="655" xfId="2" applyNumberFormat="1" applyFont="1" applyFill="1" applyBorder="1" applyAlignment="1" applyProtection="1">
      <alignment horizontal="center"/>
      <protection hidden="1"/>
    </xf>
    <xf numFmtId="166" fontId="5" fillId="0" borderId="655" xfId="198" applyNumberFormat="1" applyFont="1" applyBorder="1" applyAlignment="1" applyProtection="1">
      <alignment horizontal="center"/>
      <protection hidden="1"/>
    </xf>
    <xf numFmtId="0" fontId="5" fillId="13" borderId="655" xfId="2" applyNumberFormat="1" applyFont="1" applyFill="1" applyBorder="1" applyAlignment="1" applyProtection="1">
      <alignment horizontal="center"/>
      <protection locked="0"/>
    </xf>
    <xf numFmtId="0" fontId="1" fillId="4" borderId="0" xfId="198" applyFont="1" applyFill="1" applyAlignment="1" applyProtection="1">
      <protection hidden="1"/>
    </xf>
    <xf numFmtId="168" fontId="5" fillId="10" borderId="628" xfId="2" applyNumberFormat="1" applyFont="1" applyFill="1" applyBorder="1" applyAlignment="1" applyProtection="1">
      <alignment horizontal="center"/>
      <protection hidden="1"/>
    </xf>
    <xf numFmtId="0" fontId="1" fillId="4" borderId="0" xfId="0" applyFont="1" applyFill="1" applyAlignment="1" applyProtection="1">
      <alignment horizontal="center"/>
      <protection hidden="1"/>
    </xf>
    <xf numFmtId="0" fontId="5" fillId="0" borderId="628" xfId="0" applyFont="1" applyBorder="1" applyAlignment="1" applyProtection="1">
      <alignment horizontal="center"/>
      <protection hidden="1"/>
    </xf>
    <xf numFmtId="166" fontId="5" fillId="10" borderId="628" xfId="2" applyNumberFormat="1" applyFont="1" applyFill="1" applyBorder="1" applyAlignment="1" applyProtection="1">
      <alignment horizontal="center" wrapText="1"/>
      <protection hidden="1"/>
    </xf>
    <xf numFmtId="166" fontId="5" fillId="4" borderId="628" xfId="2" applyNumberFormat="1" applyFont="1" applyFill="1" applyBorder="1" applyAlignment="1" applyProtection="1">
      <alignment horizontal="center"/>
      <protection hidden="1"/>
    </xf>
    <xf numFmtId="0" fontId="5" fillId="13" borderId="655" xfId="2" applyNumberFormat="1" applyFill="1" applyBorder="1" applyAlignment="1" applyProtection="1">
      <alignment horizontal="center"/>
      <protection locked="0"/>
    </xf>
    <xf numFmtId="0" fontId="5" fillId="10" borderId="655" xfId="2" applyFont="1" applyFill="1" applyBorder="1" applyAlignment="1" applyProtection="1">
      <alignment horizontal="center" wrapText="1"/>
      <protection hidden="1"/>
    </xf>
    <xf numFmtId="166" fontId="5" fillId="4" borderId="655" xfId="2" applyNumberFormat="1" applyFill="1" applyBorder="1" applyAlignment="1" applyProtection="1">
      <alignment horizontal="center"/>
      <protection hidden="1"/>
    </xf>
    <xf numFmtId="0" fontId="5" fillId="10" borderId="628" xfId="2" applyFill="1" applyBorder="1" applyAlignment="1" applyProtection="1">
      <alignment horizontal="center" wrapText="1"/>
      <protection hidden="1"/>
    </xf>
    <xf numFmtId="0" fontId="5" fillId="3" borderId="627" xfId="2" applyFont="1" applyFill="1" applyBorder="1" applyAlignment="1" applyProtection="1">
      <alignment horizontal="center"/>
      <protection hidden="1"/>
    </xf>
    <xf numFmtId="0" fontId="5" fillId="13" borderId="723" xfId="2" applyNumberFormat="1" applyFill="1" applyBorder="1" applyAlignment="1" applyProtection="1">
      <alignment horizontal="center"/>
      <protection locked="0"/>
    </xf>
    <xf numFmtId="0" fontId="5" fillId="10" borderId="3" xfId="2" applyFont="1" applyFill="1" applyBorder="1" applyAlignment="1" applyProtection="1">
      <alignment horizontal="center"/>
      <protection hidden="1"/>
    </xf>
    <xf numFmtId="2" fontId="5" fillId="2" borderId="630" xfId="2" applyNumberFormat="1" applyFill="1" applyBorder="1" applyAlignment="1" applyProtection="1">
      <alignment horizontal="center"/>
      <protection hidden="1"/>
    </xf>
    <xf numFmtId="0" fontId="43" fillId="2" borderId="655" xfId="2" applyFont="1" applyFill="1" applyBorder="1" applyAlignment="1" applyProtection="1">
      <alignment horizontal="center"/>
      <protection hidden="1"/>
    </xf>
    <xf numFmtId="1" fontId="5" fillId="3" borderId="655" xfId="2" applyNumberFormat="1" applyFill="1" applyBorder="1" applyAlignment="1" applyProtection="1">
      <alignment horizontal="center"/>
      <protection hidden="1"/>
    </xf>
    <xf numFmtId="2" fontId="5" fillId="3" borderId="655" xfId="2" applyNumberFormat="1" applyFill="1" applyBorder="1" applyAlignment="1" applyProtection="1">
      <alignment horizontal="center"/>
      <protection hidden="1"/>
    </xf>
    <xf numFmtId="0" fontId="35" fillId="14" borderId="370" xfId="6" applyFont="1" applyFill="1" applyBorder="1" applyAlignment="1" applyProtection="1">
      <alignment horizontal="center"/>
      <protection hidden="1"/>
    </xf>
    <xf numFmtId="0" fontId="26" fillId="14" borderId="371" xfId="6" applyFont="1" applyFill="1" applyBorder="1" applyAlignment="1" applyProtection="1">
      <alignment horizontal="center"/>
      <protection hidden="1"/>
    </xf>
    <xf numFmtId="0" fontId="26" fillId="14" borderId="378" xfId="6" applyFont="1" applyFill="1" applyBorder="1" applyAlignment="1" applyProtection="1">
      <alignment horizontal="center"/>
      <protection hidden="1"/>
    </xf>
    <xf numFmtId="0" fontId="37" fillId="14" borderId="370" xfId="6" applyFont="1" applyFill="1" applyBorder="1" applyAlignment="1" applyProtection="1">
      <alignment horizontal="center"/>
      <protection hidden="1"/>
    </xf>
    <xf numFmtId="0" fontId="177" fillId="14" borderId="370" xfId="6" applyFont="1" applyFill="1" applyBorder="1" applyAlignment="1" applyProtection="1">
      <alignment horizontal="center"/>
      <protection hidden="1"/>
    </xf>
    <xf numFmtId="0" fontId="26" fillId="14" borderId="541" xfId="6" applyFont="1" applyFill="1" applyBorder="1" applyAlignment="1" applyProtection="1">
      <alignment horizontal="center"/>
      <protection hidden="1"/>
    </xf>
    <xf numFmtId="0" fontId="26" fillId="14" borderId="542" xfId="6" applyFont="1" applyFill="1" applyBorder="1" applyAlignment="1" applyProtection="1">
      <alignment horizontal="center"/>
      <protection hidden="1"/>
    </xf>
    <xf numFmtId="0" fontId="34" fillId="14" borderId="353" xfId="6" applyFont="1" applyFill="1" applyBorder="1" applyAlignment="1" applyProtection="1">
      <alignment horizontal="center"/>
      <protection hidden="1"/>
    </xf>
    <xf numFmtId="0" fontId="5" fillId="14" borderId="372" xfId="6" applyFont="1" applyFill="1" applyBorder="1" applyAlignment="1" applyProtection="1">
      <alignment horizontal="center"/>
      <protection hidden="1"/>
    </xf>
    <xf numFmtId="0" fontId="5" fillId="14" borderId="379" xfId="6" applyFont="1" applyFill="1" applyBorder="1" applyAlignment="1" applyProtection="1">
      <alignment horizontal="center"/>
      <protection hidden="1"/>
    </xf>
    <xf numFmtId="0" fontId="36" fillId="14" borderId="353" xfId="6" applyFont="1" applyFill="1" applyBorder="1" applyAlignment="1" applyProtection="1">
      <alignment horizontal="center"/>
      <protection hidden="1"/>
    </xf>
    <xf numFmtId="0" fontId="175" fillId="14" borderId="353" xfId="6" applyFont="1" applyFill="1" applyBorder="1" applyAlignment="1" applyProtection="1">
      <alignment horizontal="center"/>
      <protection hidden="1"/>
    </xf>
    <xf numFmtId="0" fontId="5" fillId="14" borderId="53" xfId="6" applyFont="1" applyFill="1" applyBorder="1" applyAlignment="1" applyProtection="1">
      <alignment horizontal="center"/>
      <protection hidden="1"/>
    </xf>
    <xf numFmtId="0" fontId="178" fillId="3" borderId="0" xfId="6" applyFont="1" applyFill="1" applyBorder="1" applyAlignment="1" applyProtection="1">
      <protection hidden="1"/>
    </xf>
    <xf numFmtId="0" fontId="47" fillId="3" borderId="0" xfId="6" applyFont="1" applyFill="1" applyBorder="1" applyAlignment="1" applyProtection="1">
      <alignment vertical="top"/>
      <protection hidden="1"/>
    </xf>
    <xf numFmtId="0" fontId="26" fillId="14" borderId="675" xfId="0" applyFont="1" applyFill="1" applyBorder="1" applyAlignment="1" applyProtection="1">
      <alignment horizontal="center"/>
      <protection hidden="1"/>
    </xf>
    <xf numFmtId="0" fontId="26" fillId="14" borderId="700" xfId="198" applyFont="1" applyFill="1" applyBorder="1" applyAlignment="1" applyProtection="1">
      <alignment horizontal="center"/>
      <protection hidden="1"/>
    </xf>
    <xf numFmtId="0" fontId="26" fillId="14" borderId="685" xfId="198" applyFont="1" applyFill="1" applyBorder="1" applyAlignment="1" applyProtection="1">
      <alignment horizontal="center"/>
      <protection hidden="1"/>
    </xf>
    <xf numFmtId="166" fontId="5" fillId="3" borderId="627" xfId="2" applyNumberFormat="1" applyFont="1" applyFill="1" applyBorder="1" applyAlignment="1" applyProtection="1">
      <alignment horizontal="center"/>
      <protection hidden="1"/>
    </xf>
    <xf numFmtId="0" fontId="26" fillId="4" borderId="516" xfId="2" applyFont="1" applyFill="1" applyBorder="1" applyAlignment="1" applyProtection="1">
      <alignment horizontal="left" vertical="center"/>
      <protection hidden="1"/>
    </xf>
    <xf numFmtId="0" fontId="1" fillId="4" borderId="602" xfId="6" applyFont="1" applyFill="1" applyBorder="1" applyAlignment="1" applyProtection="1">
      <alignment horizontal="left"/>
      <protection hidden="1"/>
    </xf>
    <xf numFmtId="0" fontId="1" fillId="4" borderId="602" xfId="6" applyFont="1" applyFill="1" applyBorder="1" applyAlignment="1" applyProtection="1">
      <alignment horizontal="right"/>
      <protection hidden="1"/>
    </xf>
    <xf numFmtId="0" fontId="1" fillId="4" borderId="724" xfId="6" applyFont="1" applyFill="1" applyBorder="1" applyAlignment="1" applyProtection="1">
      <alignment horizontal="right"/>
      <protection hidden="1"/>
    </xf>
    <xf numFmtId="0" fontId="1" fillId="4" borderId="725" xfId="6" applyFont="1" applyFill="1" applyBorder="1" applyAlignment="1" applyProtection="1">
      <alignment horizontal="left"/>
      <protection hidden="1"/>
    </xf>
    <xf numFmtId="0" fontId="1" fillId="4" borderId="710" xfId="6" applyFont="1" applyFill="1" applyBorder="1" applyAlignment="1" applyProtection="1">
      <alignment horizontal="left"/>
      <protection hidden="1"/>
    </xf>
    <xf numFmtId="0" fontId="1" fillId="4" borderId="726" xfId="6" applyFont="1" applyFill="1" applyBorder="1" applyAlignment="1" applyProtection="1">
      <alignment horizontal="left"/>
      <protection hidden="1"/>
    </xf>
    <xf numFmtId="2" fontId="10" fillId="2" borderId="0" xfId="1" applyNumberFormat="1" applyFont="1" applyFill="1" applyAlignment="1" applyProtection="1">
      <alignment horizontal="left"/>
      <protection hidden="1"/>
    </xf>
    <xf numFmtId="0" fontId="34" fillId="40" borderId="370" xfId="6" applyFont="1" applyFill="1" applyBorder="1" applyAlignment="1" applyProtection="1">
      <alignment horizontal="center"/>
      <protection locked="0"/>
    </xf>
    <xf numFmtId="0" fontId="5" fillId="40" borderId="371" xfId="6" applyFont="1" applyFill="1" applyBorder="1" applyAlignment="1" applyProtection="1">
      <alignment horizontal="center"/>
      <protection locked="0"/>
    </xf>
    <xf numFmtId="0" fontId="5" fillId="40" borderId="50" xfId="6" applyFont="1" applyFill="1" applyBorder="1" applyAlignment="1" applyProtection="1">
      <alignment horizontal="center"/>
      <protection locked="0"/>
    </xf>
    <xf numFmtId="0" fontId="36" fillId="9" borderId="370" xfId="6" applyFont="1" applyFill="1" applyBorder="1" applyAlignment="1" applyProtection="1">
      <alignment horizontal="center"/>
      <protection locked="0"/>
    </xf>
    <xf numFmtId="0" fontId="5" fillId="9" borderId="371" xfId="6" applyFont="1" applyFill="1" applyBorder="1" applyAlignment="1" applyProtection="1">
      <alignment horizontal="center"/>
      <protection locked="0"/>
    </xf>
    <xf numFmtId="0" fontId="5" fillId="9" borderId="230" xfId="2" applyFill="1" applyBorder="1" applyAlignment="1" applyProtection="1">
      <alignment horizontal="center"/>
      <protection locked="0"/>
    </xf>
    <xf numFmtId="0" fontId="5" fillId="9" borderId="373" xfId="6" applyFont="1" applyFill="1" applyBorder="1" applyAlignment="1" applyProtection="1">
      <alignment horizontal="center"/>
      <protection locked="0"/>
    </xf>
    <xf numFmtId="0" fontId="175" fillId="6" borderId="195" xfId="6" applyFont="1" applyFill="1" applyBorder="1" applyAlignment="1" applyProtection="1">
      <alignment horizontal="center"/>
      <protection locked="0"/>
    </xf>
    <xf numFmtId="0" fontId="5" fillId="6" borderId="371" xfId="6" applyFont="1" applyFill="1" applyBorder="1" applyAlignment="1" applyProtection="1">
      <alignment horizontal="center"/>
      <protection locked="0"/>
    </xf>
    <xf numFmtId="0" fontId="5" fillId="6" borderId="50" xfId="6" applyFont="1" applyFill="1" applyBorder="1" applyAlignment="1" applyProtection="1">
      <alignment horizontal="center"/>
      <protection locked="0"/>
    </xf>
    <xf numFmtId="0" fontId="34" fillId="40" borderId="263" xfId="6" applyFont="1" applyFill="1" applyBorder="1" applyAlignment="1" applyProtection="1">
      <alignment horizontal="center"/>
      <protection locked="0"/>
    </xf>
    <xf numFmtId="0" fontId="5" fillId="40" borderId="230" xfId="6" applyFont="1" applyFill="1" applyBorder="1" applyAlignment="1" applyProtection="1">
      <alignment horizontal="center"/>
      <protection locked="0"/>
    </xf>
    <xf numFmtId="0" fontId="5" fillId="40" borderId="60" xfId="6" applyFont="1" applyFill="1" applyBorder="1" applyAlignment="1" applyProtection="1">
      <alignment horizontal="center"/>
      <protection locked="0"/>
    </xf>
    <xf numFmtId="0" fontId="36" fillId="9" borderId="263" xfId="6" applyFont="1" applyFill="1" applyBorder="1" applyAlignment="1" applyProtection="1">
      <alignment horizontal="center"/>
      <protection locked="0"/>
    </xf>
    <xf numFmtId="0" fontId="5" fillId="9" borderId="230" xfId="6" applyFont="1" applyFill="1" applyBorder="1" applyAlignment="1" applyProtection="1">
      <alignment horizontal="center"/>
      <protection locked="0"/>
    </xf>
    <xf numFmtId="0" fontId="5" fillId="9" borderId="60" xfId="6" applyFont="1" applyFill="1" applyBorder="1" applyAlignment="1" applyProtection="1">
      <alignment horizontal="center"/>
      <protection locked="0"/>
    </xf>
    <xf numFmtId="0" fontId="175" fillId="6" borderId="263" xfId="6" applyFont="1" applyFill="1" applyBorder="1" applyAlignment="1" applyProtection="1">
      <alignment horizontal="center"/>
      <protection locked="0"/>
    </xf>
    <xf numFmtId="0" fontId="5" fillId="6" borderId="230" xfId="6" applyFont="1" applyFill="1" applyBorder="1" applyAlignment="1" applyProtection="1">
      <alignment horizontal="center"/>
      <protection locked="0"/>
    </xf>
    <xf numFmtId="0" fontId="5" fillId="6" borderId="60" xfId="6" applyFont="1" applyFill="1" applyBorder="1" applyAlignment="1" applyProtection="1">
      <alignment horizontal="center"/>
      <protection locked="0"/>
    </xf>
    <xf numFmtId="0" fontId="5" fillId="40" borderId="230" xfId="288" applyFont="1" applyFill="1" applyBorder="1" applyAlignment="1" applyProtection="1">
      <alignment horizontal="center"/>
      <protection locked="0"/>
    </xf>
    <xf numFmtId="0" fontId="5" fillId="40" borderId="60" xfId="288" applyFont="1" applyFill="1" applyBorder="1" applyAlignment="1" applyProtection="1">
      <alignment horizontal="center"/>
      <protection locked="0"/>
    </xf>
    <xf numFmtId="0" fontId="34" fillId="40" borderId="263" xfId="2" applyFont="1" applyFill="1" applyBorder="1" applyAlignment="1" applyProtection="1">
      <alignment horizontal="center"/>
      <protection locked="0"/>
    </xf>
    <xf numFmtId="0" fontId="5" fillId="40" borderId="230" xfId="2" applyFill="1" applyBorder="1" applyAlignment="1" applyProtection="1">
      <alignment horizontal="center"/>
      <protection locked="0"/>
    </xf>
    <xf numFmtId="0" fontId="5" fillId="40" borderId="100" xfId="2" applyFill="1" applyBorder="1" applyAlignment="1" applyProtection="1">
      <alignment horizontal="center"/>
      <protection locked="0"/>
    </xf>
    <xf numFmtId="0" fontId="36" fillId="9" borderId="263" xfId="2" applyFont="1" applyFill="1" applyBorder="1" applyAlignment="1" applyProtection="1">
      <alignment horizontal="center"/>
      <protection locked="0"/>
    </xf>
    <xf numFmtId="0" fontId="5" fillId="9" borderId="376" xfId="2" applyFill="1" applyBorder="1" applyAlignment="1" applyProtection="1">
      <alignment horizontal="center"/>
      <protection locked="0"/>
    </xf>
    <xf numFmtId="0" fontId="27" fillId="5" borderId="142" xfId="6" applyNumberFormat="1" applyFont="1" applyFill="1" applyBorder="1" applyAlignment="1" applyProtection="1">
      <alignment horizontal="center"/>
      <protection locked="0"/>
    </xf>
    <xf numFmtId="0" fontId="35" fillId="40" borderId="344" xfId="6" applyFont="1" applyFill="1" applyBorder="1" applyAlignment="1" applyProtection="1">
      <alignment horizontal="center"/>
      <protection locked="0"/>
    </xf>
    <xf numFmtId="1" fontId="34" fillId="0" borderId="345" xfId="6" applyNumberFormat="1" applyFont="1" applyBorder="1" applyAlignment="1" applyProtection="1">
      <alignment horizontal="center"/>
      <protection hidden="1"/>
    </xf>
    <xf numFmtId="0" fontId="35" fillId="40" borderId="513" xfId="1" applyNumberFormat="1" applyFont="1" applyFill="1" applyBorder="1" applyAlignment="1" applyProtection="1">
      <alignment horizontal="center"/>
      <protection locked="0"/>
    </xf>
    <xf numFmtId="1" fontId="5" fillId="0" borderId="10" xfId="6" applyNumberFormat="1" applyFont="1" applyBorder="1" applyAlignment="1" applyProtection="1">
      <alignment horizontal="center"/>
      <protection hidden="1"/>
    </xf>
    <xf numFmtId="164" fontId="35" fillId="0" borderId="281" xfId="6" applyNumberFormat="1" applyFont="1" applyBorder="1" applyAlignment="1" applyProtection="1">
      <alignment horizontal="center"/>
      <protection hidden="1"/>
    </xf>
    <xf numFmtId="164" fontId="5" fillId="14" borderId="181" xfId="6" applyNumberFormat="1" applyFont="1" applyFill="1" applyBorder="1" applyAlignment="1" applyProtection="1">
      <alignment horizontal="center"/>
      <protection hidden="1"/>
    </xf>
    <xf numFmtId="0" fontId="27" fillId="9" borderId="142" xfId="6" applyNumberFormat="1" applyFont="1" applyFill="1" applyBorder="1" applyAlignment="1" applyProtection="1">
      <alignment horizontal="center"/>
      <protection locked="0"/>
    </xf>
    <xf numFmtId="0" fontId="37" fillId="9" borderId="344" xfId="6" applyFont="1" applyFill="1" applyBorder="1" applyAlignment="1" applyProtection="1">
      <alignment horizontal="center"/>
      <protection locked="0"/>
    </xf>
    <xf numFmtId="1" fontId="36" fillId="0" borderId="345" xfId="6" applyNumberFormat="1" applyFont="1" applyBorder="1" applyAlignment="1" applyProtection="1">
      <alignment horizontal="center"/>
      <protection hidden="1"/>
    </xf>
    <xf numFmtId="0" fontId="37" fillId="9" borderId="513" xfId="0" applyNumberFormat="1" applyFont="1" applyFill="1" applyBorder="1" applyAlignment="1" applyProtection="1">
      <alignment horizontal="center"/>
      <protection locked="0"/>
    </xf>
    <xf numFmtId="1" fontId="5" fillId="0" borderId="339" xfId="6" applyNumberFormat="1" applyFont="1" applyBorder="1" applyAlignment="1" applyProtection="1">
      <alignment horizontal="center"/>
      <protection hidden="1"/>
    </xf>
    <xf numFmtId="164" fontId="37" fillId="0" borderId="17" xfId="6" applyNumberFormat="1" applyFont="1" applyBorder="1" applyAlignment="1" applyProtection="1">
      <alignment horizontal="center"/>
      <protection hidden="1"/>
    </xf>
    <xf numFmtId="0" fontId="177" fillId="6" borderId="344" xfId="6" applyFont="1" applyFill="1" applyBorder="1" applyAlignment="1" applyProtection="1">
      <alignment horizontal="center"/>
      <protection locked="0"/>
    </xf>
    <xf numFmtId="1" fontId="175" fillId="0" borderId="345" xfId="6" applyNumberFormat="1" applyFont="1" applyBorder="1" applyAlignment="1" applyProtection="1">
      <alignment horizontal="center"/>
      <protection hidden="1"/>
    </xf>
    <xf numFmtId="0" fontId="310" fillId="6" borderId="193" xfId="2" applyFont="1" applyFill="1" applyBorder="1" applyAlignment="1" applyProtection="1">
      <alignment horizontal="center"/>
      <protection locked="0"/>
    </xf>
    <xf numFmtId="0" fontId="310" fillId="6" borderId="227" xfId="2" applyFont="1" applyFill="1" applyBorder="1" applyAlignment="1" applyProtection="1">
      <alignment horizontal="center"/>
      <protection locked="0"/>
    </xf>
    <xf numFmtId="49" fontId="310" fillId="6" borderId="344" xfId="2" applyNumberFormat="1" applyFont="1" applyFill="1" applyBorder="1" applyAlignment="1" applyProtection="1">
      <alignment horizontal="center"/>
      <protection locked="0"/>
    </xf>
    <xf numFmtId="49" fontId="310" fillId="6" borderId="193" xfId="2" applyNumberFormat="1" applyFont="1" applyFill="1" applyBorder="1" applyAlignment="1" applyProtection="1">
      <alignment horizontal="center"/>
      <protection locked="0"/>
    </xf>
    <xf numFmtId="49" fontId="310" fillId="6" borderId="656" xfId="2" applyNumberFormat="1" applyFont="1" applyFill="1" applyBorder="1" applyAlignment="1" applyProtection="1">
      <alignment horizontal="center"/>
      <protection locked="0"/>
    </xf>
    <xf numFmtId="49" fontId="310" fillId="6" borderId="640" xfId="2" applyNumberFormat="1" applyFont="1" applyFill="1" applyBorder="1" applyAlignment="1" applyProtection="1">
      <alignment horizontal="center"/>
      <protection locked="0"/>
    </xf>
    <xf numFmtId="49" fontId="310" fillId="6" borderId="227" xfId="2" applyNumberFormat="1" applyFont="1" applyFill="1" applyBorder="1" applyAlignment="1" applyProtection="1">
      <alignment horizontal="center"/>
      <protection locked="0"/>
    </xf>
    <xf numFmtId="0" fontId="310" fillId="6" borderId="640" xfId="2" applyFont="1" applyFill="1" applyBorder="1" applyAlignment="1" applyProtection="1">
      <alignment horizontal="center"/>
      <protection locked="0"/>
    </xf>
    <xf numFmtId="0" fontId="310" fillId="6" borderId="344" xfId="2" applyFont="1" applyFill="1" applyBorder="1" applyAlignment="1" applyProtection="1">
      <alignment horizontal="center"/>
      <protection locked="0"/>
    </xf>
    <xf numFmtId="0" fontId="310" fillId="0" borderId="3" xfId="0" applyFont="1" applyBorder="1" applyAlignment="1" applyProtection="1">
      <alignment horizontal="center"/>
      <protection hidden="1"/>
    </xf>
    <xf numFmtId="0" fontId="15" fillId="0" borderId="655" xfId="3" applyFont="1" applyBorder="1" applyAlignment="1" applyProtection="1">
      <alignment horizontal="left"/>
      <protection hidden="1"/>
    </xf>
    <xf numFmtId="0" fontId="52" fillId="0" borderId="73" xfId="2" applyFont="1" applyBorder="1" applyAlignment="1" applyProtection="1">
      <alignment horizontal="left"/>
      <protection hidden="1"/>
    </xf>
    <xf numFmtId="1" fontId="52" fillId="3" borderId="73" xfId="6" applyNumberFormat="1" applyFont="1" applyFill="1" applyBorder="1" applyAlignment="1" applyProtection="1">
      <alignment horizontal="center"/>
      <protection hidden="1"/>
    </xf>
    <xf numFmtId="0" fontId="5" fillId="5" borderId="727" xfId="6" applyFont="1" applyFill="1" applyBorder="1" applyAlignment="1" applyProtection="1">
      <alignment horizontal="center"/>
      <protection locked="0"/>
    </xf>
    <xf numFmtId="0" fontId="152" fillId="0" borderId="727" xfId="3" applyFont="1" applyBorder="1" applyAlignment="1" applyProtection="1">
      <protection hidden="1"/>
    </xf>
    <xf numFmtId="1" fontId="52" fillId="0" borderId="139" xfId="289" applyNumberFormat="1" applyFont="1" applyBorder="1" applyAlignment="1" applyProtection="1">
      <alignment horizontal="center"/>
      <protection hidden="1"/>
    </xf>
    <xf numFmtId="0" fontId="52" fillId="0" borderId="702" xfId="2" applyFont="1" applyBorder="1" applyProtection="1">
      <protection hidden="1"/>
    </xf>
    <xf numFmtId="1" fontId="52" fillId="0" borderId="728" xfId="287" applyNumberFormat="1" applyFont="1" applyBorder="1" applyAlignment="1" applyProtection="1">
      <alignment horizontal="center"/>
      <protection hidden="1"/>
    </xf>
    <xf numFmtId="0" fontId="44" fillId="5" borderId="459" xfId="6" applyFont="1" applyFill="1" applyBorder="1" applyAlignment="1" applyProtection="1">
      <alignment horizontal="center"/>
      <protection locked="0"/>
    </xf>
    <xf numFmtId="0" fontId="152" fillId="0" borderId="729" xfId="3" applyFont="1" applyBorder="1" applyAlignment="1" applyProtection="1">
      <protection hidden="1"/>
    </xf>
    <xf numFmtId="0" fontId="44" fillId="18" borderId="730" xfId="6" applyFont="1" applyFill="1" applyBorder="1" applyAlignment="1" applyProtection="1">
      <alignment horizontal="center"/>
      <protection locked="0"/>
    </xf>
    <xf numFmtId="0" fontId="152" fillId="0" borderId="731" xfId="3" applyFont="1" applyBorder="1" applyAlignment="1" applyProtection="1">
      <protection hidden="1"/>
    </xf>
    <xf numFmtId="0" fontId="15" fillId="0" borderId="494" xfId="3" applyFont="1" applyBorder="1" applyAlignment="1" applyProtection="1">
      <alignment horizontal="left"/>
      <protection hidden="1"/>
    </xf>
    <xf numFmtId="0" fontId="5" fillId="4" borderId="0" xfId="413" applyFont="1" applyFill="1" applyBorder="1" applyAlignment="1" applyProtection="1">
      <alignment horizontal="left" vertical="top" wrapText="1"/>
      <protection hidden="1"/>
    </xf>
    <xf numFmtId="0" fontId="14" fillId="10" borderId="0" xfId="198" applyFont="1" applyFill="1" applyBorder="1" applyAlignment="1" applyProtection="1">
      <alignment horizontal="center"/>
      <protection hidden="1"/>
    </xf>
    <xf numFmtId="170" fontId="20" fillId="2" borderId="656" xfId="411" applyNumberFormat="1" applyFont="1" applyFill="1" applyBorder="1" applyAlignment="1" applyProtection="1">
      <alignment horizontal="center" vertical="center" wrapText="1"/>
      <protection hidden="1"/>
    </xf>
    <xf numFmtId="0" fontId="1" fillId="4" borderId="0" xfId="424" applyFont="1" applyFill="1" applyAlignment="1" applyProtection="1">
      <alignment horizontal="right"/>
      <protection hidden="1"/>
    </xf>
    <xf numFmtId="0" fontId="1" fillId="2" borderId="574" xfId="424" applyFont="1" applyFill="1" applyBorder="1" applyAlignment="1" applyProtection="1">
      <alignment horizontal="center"/>
      <protection hidden="1"/>
    </xf>
    <xf numFmtId="0" fontId="1" fillId="0" borderId="628" xfId="429" applyFont="1" applyBorder="1" applyAlignment="1" applyProtection="1">
      <alignment horizontal="center"/>
      <protection hidden="1"/>
    </xf>
    <xf numFmtId="166" fontId="318" fillId="3" borderId="570" xfId="411" applyNumberFormat="1" applyFont="1" applyFill="1" applyBorder="1" applyAlignment="1" applyProtection="1">
      <alignment horizontal="center"/>
      <protection hidden="1"/>
    </xf>
    <xf numFmtId="164" fontId="318" fillId="3" borderId="570" xfId="411" applyNumberFormat="1" applyFont="1" applyFill="1" applyBorder="1" applyAlignment="1" applyProtection="1">
      <alignment horizontal="center"/>
      <protection hidden="1"/>
    </xf>
    <xf numFmtId="166" fontId="319" fillId="3" borderId="570" xfId="411" applyNumberFormat="1" applyFont="1" applyFill="1" applyBorder="1" applyAlignment="1" applyProtection="1">
      <alignment horizontal="center"/>
      <protection hidden="1"/>
    </xf>
    <xf numFmtId="164" fontId="319" fillId="3" borderId="570" xfId="411" applyNumberFormat="1" applyFont="1" applyFill="1" applyBorder="1" applyAlignment="1" applyProtection="1">
      <alignment horizontal="center"/>
      <protection hidden="1"/>
    </xf>
    <xf numFmtId="166" fontId="318" fillId="3" borderId="628" xfId="411" applyNumberFormat="1" applyFont="1" applyFill="1" applyBorder="1" applyAlignment="1" applyProtection="1">
      <alignment horizontal="center"/>
      <protection hidden="1"/>
    </xf>
    <xf numFmtId="164" fontId="318" fillId="3" borderId="628" xfId="411" applyNumberFormat="1" applyFont="1" applyFill="1" applyBorder="1" applyAlignment="1" applyProtection="1">
      <alignment horizontal="center"/>
      <protection hidden="1"/>
    </xf>
    <xf numFmtId="166" fontId="319" fillId="3" borderId="628" xfId="411" applyNumberFormat="1" applyFont="1" applyFill="1" applyBorder="1" applyAlignment="1" applyProtection="1">
      <alignment horizontal="center"/>
      <protection hidden="1"/>
    </xf>
    <xf numFmtId="164" fontId="319" fillId="3" borderId="628" xfId="411" applyNumberFormat="1" applyFont="1" applyFill="1" applyBorder="1" applyAlignment="1" applyProtection="1">
      <alignment horizontal="center"/>
      <protection hidden="1"/>
    </xf>
    <xf numFmtId="0" fontId="174" fillId="0" borderId="0" xfId="424" applyFont="1" applyAlignment="1" applyProtection="1">
      <alignment horizontal="left"/>
      <protection hidden="1"/>
    </xf>
    <xf numFmtId="0" fontId="1" fillId="5" borderId="570" xfId="424" applyFont="1" applyFill="1" applyBorder="1" applyAlignment="1" applyProtection="1">
      <alignment horizontal="center"/>
      <protection locked="0"/>
    </xf>
    <xf numFmtId="164" fontId="204" fillId="2" borderId="628" xfId="4" applyNumberFormat="1" applyFont="1" applyFill="1" applyBorder="1" applyAlignment="1" applyProtection="1">
      <alignment horizontal="center"/>
      <protection locked="0"/>
    </xf>
    <xf numFmtId="0" fontId="5" fillId="3" borderId="301" xfId="2" applyFill="1" applyBorder="1" applyAlignment="1" applyProtection="1">
      <alignment vertical="top" wrapText="1"/>
      <protection hidden="1"/>
    </xf>
    <xf numFmtId="0" fontId="5" fillId="3" borderId="0" xfId="2" applyFill="1" applyBorder="1" applyAlignment="1" applyProtection="1">
      <alignment vertical="top" wrapText="1"/>
      <protection hidden="1"/>
    </xf>
    <xf numFmtId="0" fontId="51" fillId="0" borderId="0" xfId="1" applyFont="1" applyProtection="1"/>
    <xf numFmtId="0" fontId="61" fillId="0" borderId="0" xfId="1" applyFont="1" applyProtection="1"/>
    <xf numFmtId="0" fontId="1" fillId="4" borderId="0" xfId="6" applyFont="1" applyFill="1" applyAlignment="1" applyProtection="1">
      <alignment horizontal="center"/>
      <protection hidden="1"/>
    </xf>
    <xf numFmtId="0" fontId="27" fillId="0" borderId="338" xfId="6" applyFont="1" applyBorder="1" applyAlignment="1" applyProtection="1">
      <alignment horizontal="center"/>
      <protection hidden="1"/>
    </xf>
    <xf numFmtId="0" fontId="1" fillId="0" borderId="0" xfId="6" applyFont="1" applyAlignment="1" applyProtection="1">
      <alignment wrapText="1"/>
      <protection hidden="1"/>
    </xf>
    <xf numFmtId="0" fontId="19" fillId="5" borderId="733" xfId="2" applyFont="1" applyFill="1" applyBorder="1" applyAlignment="1" applyProtection="1">
      <alignment horizontal="center"/>
      <protection locked="0"/>
    </xf>
    <xf numFmtId="0" fontId="5" fillId="5" borderId="41" xfId="3" applyFont="1" applyFill="1" applyBorder="1" applyAlignment="1" applyProtection="1">
      <protection locked="0"/>
    </xf>
    <xf numFmtId="0" fontId="155" fillId="5" borderId="181" xfId="6" applyFont="1" applyFill="1" applyBorder="1" applyAlignment="1" applyProtection="1">
      <alignment horizontal="center"/>
      <protection locked="0"/>
    </xf>
    <xf numFmtId="0" fontId="44" fillId="7" borderId="264" xfId="6" applyFont="1" applyFill="1" applyBorder="1" applyAlignment="1" applyProtection="1">
      <alignment horizontal="center"/>
      <protection locked="0"/>
    </xf>
    <xf numFmtId="0" fontId="5" fillId="9" borderId="608" xfId="1" applyFont="1" applyFill="1" applyBorder="1" applyAlignment="1" applyProtection="1">
      <alignment horizontal="center"/>
      <protection locked="0"/>
    </xf>
    <xf numFmtId="0" fontId="1" fillId="4" borderId="0" xfId="2" applyFont="1" applyFill="1" applyAlignment="1" applyProtection="1">
      <alignment horizontal="left"/>
      <protection hidden="1"/>
    </xf>
    <xf numFmtId="0" fontId="5" fillId="3" borderId="0" xfId="1" applyFont="1" applyFill="1" applyBorder="1" applyAlignment="1" applyProtection="1">
      <protection hidden="1"/>
    </xf>
    <xf numFmtId="0" fontId="5" fillId="3" borderId="0" xfId="1" applyFont="1" applyFill="1" applyBorder="1" applyAlignment="1" applyProtection="1">
      <alignment vertical="top"/>
      <protection hidden="1"/>
    </xf>
    <xf numFmtId="0" fontId="64" fillId="16" borderId="655" xfId="198" applyFont="1" applyFill="1" applyBorder="1" applyAlignment="1" applyProtection="1">
      <alignment horizontal="center"/>
      <protection locked="0"/>
    </xf>
    <xf numFmtId="0" fontId="5" fillId="5" borderId="51" xfId="2" applyNumberFormat="1" applyFill="1" applyBorder="1" applyAlignment="1" applyProtection="1">
      <alignment horizontal="center"/>
      <protection locked="0"/>
    </xf>
    <xf numFmtId="0" fontId="5" fillId="5" borderId="114" xfId="2" applyFill="1" applyBorder="1" applyAlignment="1" applyProtection="1">
      <alignment horizontal="center"/>
      <protection locked="0"/>
    </xf>
    <xf numFmtId="0" fontId="35" fillId="15" borderId="132" xfId="2" applyFont="1" applyFill="1" applyBorder="1" applyAlignment="1" applyProtection="1">
      <alignment horizontal="center"/>
      <protection locked="0"/>
    </xf>
    <xf numFmtId="0" fontId="37" fillId="6" borderId="132" xfId="2" applyFont="1" applyFill="1" applyBorder="1" applyAlignment="1" applyProtection="1">
      <alignment horizontal="center"/>
      <protection locked="0"/>
    </xf>
    <xf numFmtId="0" fontId="41" fillId="7" borderId="132" xfId="2" applyFont="1" applyFill="1" applyBorder="1" applyAlignment="1" applyProtection="1">
      <alignment horizontal="center"/>
      <protection locked="0"/>
    </xf>
    <xf numFmtId="0" fontId="5" fillId="16" borderId="628" xfId="2" applyFont="1" applyFill="1" applyBorder="1" applyAlignment="1" applyProtection="1">
      <alignment horizontal="center"/>
      <protection locked="0"/>
    </xf>
    <xf numFmtId="164" fontId="310" fillId="8" borderId="8" xfId="2" applyNumberFormat="1" applyFont="1" applyFill="1" applyBorder="1" applyAlignment="1" applyProtection="1">
      <alignment horizontal="center"/>
      <protection locked="0"/>
    </xf>
    <xf numFmtId="164" fontId="310" fillId="8" borderId="15" xfId="2" applyNumberFormat="1" applyFont="1" applyFill="1" applyBorder="1" applyAlignment="1" applyProtection="1">
      <alignment horizontal="center"/>
      <protection locked="0"/>
    </xf>
    <xf numFmtId="2" fontId="310" fillId="8" borderId="15" xfId="2" applyNumberFormat="1" applyFont="1" applyFill="1" applyBorder="1" applyAlignment="1" applyProtection="1">
      <alignment horizontal="center"/>
      <protection locked="0"/>
    </xf>
    <xf numFmtId="164" fontId="310" fillId="9" borderId="33" xfId="2" applyNumberFormat="1" applyFont="1" applyFill="1" applyBorder="1" applyAlignment="1" applyProtection="1">
      <alignment horizontal="center"/>
      <protection locked="0"/>
    </xf>
    <xf numFmtId="164" fontId="310" fillId="8" borderId="41" xfId="2" applyNumberFormat="1" applyFont="1" applyFill="1" applyBorder="1" applyAlignment="1" applyProtection="1">
      <alignment horizontal="center"/>
      <protection locked="0"/>
    </xf>
    <xf numFmtId="164" fontId="9" fillId="0" borderId="0" xfId="2" applyNumberFormat="1" applyFont="1" applyFill="1" applyProtection="1">
      <protection hidden="1"/>
    </xf>
    <xf numFmtId="1" fontId="44" fillId="0" borderId="341" xfId="2" applyNumberFormat="1" applyFont="1" applyFill="1" applyBorder="1" applyAlignment="1" applyProtection="1">
      <alignment horizontal="right"/>
      <protection hidden="1"/>
    </xf>
    <xf numFmtId="1" fontId="44" fillId="0" borderId="178" xfId="2" applyNumberFormat="1" applyFont="1" applyFill="1" applyBorder="1" applyAlignment="1" applyProtection="1">
      <alignment horizontal="right"/>
      <protection hidden="1"/>
    </xf>
    <xf numFmtId="1" fontId="44" fillId="0" borderId="343" xfId="2" applyNumberFormat="1" applyFont="1" applyFill="1" applyBorder="1" applyAlignment="1" applyProtection="1">
      <alignment horizontal="right"/>
      <protection hidden="1"/>
    </xf>
    <xf numFmtId="1" fontId="44" fillId="0" borderId="302" xfId="2" applyNumberFormat="1" applyFont="1" applyFill="1" applyBorder="1" applyAlignment="1" applyProtection="1">
      <alignment horizontal="right"/>
      <protection hidden="1"/>
    </xf>
    <xf numFmtId="1" fontId="44" fillId="0" borderId="0" xfId="2" applyNumberFormat="1" applyFont="1" applyFill="1" applyBorder="1" applyAlignment="1" applyProtection="1">
      <alignment horizontal="right"/>
      <protection hidden="1"/>
    </xf>
    <xf numFmtId="1" fontId="44" fillId="0" borderId="21" xfId="2" applyNumberFormat="1" applyFont="1" applyFill="1" applyBorder="1" applyAlignment="1" applyProtection="1">
      <alignment horizontal="right"/>
      <protection hidden="1"/>
    </xf>
    <xf numFmtId="0" fontId="44" fillId="0" borderId="0" xfId="410" applyFont="1" applyFill="1" applyAlignment="1" applyProtection="1">
      <alignment vertical="top" wrapText="1"/>
      <protection hidden="1"/>
    </xf>
    <xf numFmtId="0" fontId="44" fillId="0" borderId="0" xfId="410" applyFont="1" applyFill="1" applyAlignment="1" applyProtection="1">
      <alignment vertical="center" wrapText="1"/>
      <protection hidden="1"/>
    </xf>
    <xf numFmtId="0" fontId="5" fillId="0" borderId="0" xfId="1" applyFont="1" applyFill="1" applyProtection="1">
      <protection hidden="1"/>
    </xf>
    <xf numFmtId="0" fontId="24" fillId="0" borderId="0" xfId="2" applyFont="1" applyFill="1" applyProtection="1">
      <protection hidden="1"/>
    </xf>
    <xf numFmtId="0" fontId="44" fillId="0" borderId="0" xfId="410" applyFont="1" applyFill="1" applyBorder="1" applyAlignment="1" applyProtection="1">
      <alignment vertical="top" wrapText="1"/>
      <protection hidden="1"/>
    </xf>
    <xf numFmtId="0" fontId="5" fillId="0" borderId="0" xfId="411" applyFont="1" applyFill="1" applyBorder="1" applyProtection="1">
      <protection hidden="1"/>
    </xf>
    <xf numFmtId="166" fontId="5" fillId="0" borderId="0" xfId="412" applyNumberFormat="1" applyFont="1" applyFill="1" applyBorder="1" applyProtection="1">
      <protection hidden="1"/>
    </xf>
    <xf numFmtId="2" fontId="208" fillId="0" borderId="0" xfId="1" applyNumberFormat="1" applyFont="1" applyAlignment="1" applyProtection="1">
      <alignment horizontal="center"/>
      <protection hidden="1"/>
    </xf>
    <xf numFmtId="0" fontId="208" fillId="0" borderId="0" xfId="2" applyFont="1" applyProtection="1">
      <protection hidden="1"/>
    </xf>
    <xf numFmtId="0" fontId="51" fillId="4" borderId="0" xfId="288" applyFont="1" applyFill="1" applyBorder="1" applyAlignment="1" applyProtection="1">
      <alignment vertical="center" wrapText="1"/>
      <protection hidden="1"/>
    </xf>
    <xf numFmtId="0" fontId="5" fillId="3" borderId="422" xfId="429" applyFont="1" applyFill="1" applyBorder="1" applyAlignment="1" applyProtection="1">
      <alignment horizontal="center"/>
      <protection hidden="1"/>
    </xf>
    <xf numFmtId="0" fontId="5" fillId="3" borderId="735" xfId="429" applyFont="1" applyFill="1" applyBorder="1" applyAlignment="1" applyProtection="1">
      <alignment horizontal="center"/>
      <protection hidden="1"/>
    </xf>
    <xf numFmtId="0" fontId="5" fillId="5" borderId="682" xfId="429" applyFont="1" applyFill="1" applyBorder="1" applyAlignment="1" applyProtection="1">
      <alignment horizontal="center"/>
      <protection locked="0"/>
    </xf>
    <xf numFmtId="0" fontId="5" fillId="5" borderId="681" xfId="429" applyFont="1" applyFill="1" applyBorder="1" applyAlignment="1" applyProtection="1">
      <alignment horizontal="center"/>
      <protection locked="0"/>
    </xf>
    <xf numFmtId="2" fontId="5" fillId="3" borderId="681" xfId="429" applyNumberFormat="1" applyFont="1" applyFill="1" applyBorder="1" applyAlignment="1" applyProtection="1">
      <alignment horizontal="center"/>
      <protection hidden="1"/>
    </xf>
    <xf numFmtId="2" fontId="5" fillId="3" borderId="395" xfId="413" applyNumberFormat="1" applyFont="1" applyFill="1" applyBorder="1" applyAlignment="1" applyProtection="1">
      <alignment horizontal="center"/>
      <protection hidden="1"/>
    </xf>
    <xf numFmtId="0" fontId="59" fillId="64" borderId="404" xfId="413" applyNumberFormat="1" applyFont="1" applyFill="1" applyBorder="1" applyAlignment="1" applyProtection="1">
      <alignment horizontal="center" vertical="top"/>
      <protection hidden="1"/>
    </xf>
    <xf numFmtId="0" fontId="250" fillId="0" borderId="406" xfId="413" applyNumberFormat="1" applyFont="1" applyFill="1" applyBorder="1" applyAlignment="1" applyProtection="1">
      <alignment horizontal="center" vertical="top"/>
      <protection hidden="1"/>
    </xf>
    <xf numFmtId="0" fontId="39" fillId="0" borderId="0" xfId="202" applyFont="1" applyProtection="1">
      <protection hidden="1"/>
    </xf>
    <xf numFmtId="0" fontId="285" fillId="4" borderId="0" xfId="0" applyFont="1" applyFill="1" applyAlignment="1" applyProtection="1">
      <alignment vertical="top" readingOrder="1"/>
      <protection hidden="1"/>
    </xf>
    <xf numFmtId="0" fontId="179" fillId="2" borderId="0" xfId="2" applyFont="1" applyFill="1" applyAlignment="1" applyProtection="1">
      <protection hidden="1"/>
    </xf>
    <xf numFmtId="0" fontId="323" fillId="4" borderId="0" xfId="0" applyFont="1" applyFill="1" applyAlignment="1" applyProtection="1">
      <alignment vertical="center" readingOrder="1"/>
      <protection hidden="1"/>
    </xf>
    <xf numFmtId="0" fontId="5" fillId="2" borderId="0" xfId="2" applyFill="1" applyBorder="1" applyAlignment="1" applyProtection="1">
      <protection hidden="1"/>
    </xf>
    <xf numFmtId="0" fontId="13" fillId="0" borderId="0" xfId="3" applyFont="1" applyFill="1" applyAlignment="1" applyProtection="1">
      <alignment vertical="top"/>
      <protection hidden="1"/>
    </xf>
    <xf numFmtId="2" fontId="4" fillId="0" borderId="0" xfId="1" applyNumberFormat="1" applyFont="1" applyFill="1" applyAlignment="1" applyProtection="1">
      <alignment vertical="center"/>
      <protection hidden="1"/>
    </xf>
    <xf numFmtId="0" fontId="47" fillId="0" borderId="0" xfId="2" applyFont="1" applyFill="1" applyAlignment="1" applyProtection="1">
      <alignment horizontal="right"/>
      <protection hidden="1"/>
    </xf>
    <xf numFmtId="0" fontId="8" fillId="0" borderId="0" xfId="2" applyFont="1" applyFill="1" applyAlignment="1" applyProtection="1">
      <alignment vertical="center" wrapText="1"/>
      <protection hidden="1"/>
    </xf>
    <xf numFmtId="166" fontId="1" fillId="3" borderId="544" xfId="424" applyNumberFormat="1" applyFont="1" applyFill="1" applyBorder="1" applyAlignment="1" applyProtection="1">
      <alignment horizontal="left"/>
      <protection hidden="1"/>
    </xf>
    <xf numFmtId="0" fontId="1" fillId="2" borderId="0" xfId="2" applyFont="1" applyFill="1" applyAlignment="1" applyProtection="1">
      <alignment horizontal="center"/>
      <protection hidden="1"/>
    </xf>
    <xf numFmtId="0" fontId="39" fillId="4" borderId="0" xfId="2" applyFont="1" applyFill="1" applyAlignment="1" applyProtection="1">
      <alignment horizontal="right"/>
      <protection hidden="1"/>
    </xf>
    <xf numFmtId="0" fontId="327" fillId="0" borderId="12" xfId="2" applyFont="1" applyBorder="1" applyProtection="1">
      <protection hidden="1"/>
    </xf>
    <xf numFmtId="0" fontId="2" fillId="2" borderId="0" xfId="2" applyFont="1" applyFill="1" applyAlignment="1" applyProtection="1">
      <alignment vertical="center"/>
      <protection hidden="1"/>
    </xf>
    <xf numFmtId="0" fontId="2" fillId="2" borderId="0" xfId="2" applyFont="1" applyFill="1" applyAlignment="1" applyProtection="1">
      <alignment horizontal="center"/>
      <protection hidden="1"/>
    </xf>
    <xf numFmtId="0" fontId="90" fillId="2" borderId="0" xfId="2" applyFont="1" applyFill="1" applyAlignment="1" applyProtection="1">
      <protection hidden="1"/>
    </xf>
    <xf numFmtId="2" fontId="4" fillId="4" borderId="0" xfId="1" applyNumberFormat="1" applyFont="1" applyFill="1" applyAlignment="1" applyProtection="1">
      <alignment vertical="top"/>
      <protection hidden="1"/>
    </xf>
    <xf numFmtId="0" fontId="5" fillId="2" borderId="0" xfId="2" applyFill="1" applyAlignment="1" applyProtection="1">
      <alignment horizontal="center" wrapText="1"/>
      <protection hidden="1"/>
    </xf>
    <xf numFmtId="0" fontId="1" fillId="2" borderId="0" xfId="2" applyFont="1" applyFill="1" applyAlignment="1" applyProtection="1">
      <alignment horizontal="center" wrapText="1"/>
      <protection hidden="1"/>
    </xf>
    <xf numFmtId="0" fontId="6" fillId="2" borderId="0" xfId="2" applyFont="1" applyFill="1" applyAlignment="1" applyProtection="1">
      <alignment wrapText="1"/>
      <protection hidden="1"/>
    </xf>
    <xf numFmtId="0" fontId="15" fillId="0" borderId="69" xfId="3" applyFont="1" applyBorder="1" applyAlignment="1" applyProtection="1">
      <protection hidden="1"/>
    </xf>
    <xf numFmtId="0" fontId="15" fillId="0" borderId="0" xfId="3" applyFont="1" applyBorder="1" applyAlignment="1" applyProtection="1">
      <alignment horizontal="left"/>
      <protection hidden="1"/>
    </xf>
    <xf numFmtId="0" fontId="27" fillId="4" borderId="0" xfId="3" applyFont="1" applyFill="1" applyBorder="1" applyAlignment="1" applyProtection="1">
      <protection hidden="1"/>
    </xf>
    <xf numFmtId="2" fontId="9" fillId="0" borderId="0" xfId="6" applyNumberFormat="1" applyFont="1" applyBorder="1" applyAlignment="1" applyProtection="1">
      <alignment horizontal="center"/>
      <protection hidden="1"/>
    </xf>
    <xf numFmtId="0" fontId="44" fillId="47" borderId="0" xfId="198" applyFont="1" applyFill="1" applyBorder="1" applyAlignment="1" applyProtection="1">
      <protection hidden="1"/>
    </xf>
    <xf numFmtId="0" fontId="178" fillId="3" borderId="641" xfId="6" applyFont="1" applyFill="1" applyBorder="1" applyAlignment="1" applyProtection="1">
      <protection hidden="1"/>
    </xf>
    <xf numFmtId="0" fontId="310" fillId="0" borderId="656" xfId="410" applyFont="1" applyBorder="1" applyAlignment="1" applyProtection="1">
      <alignment horizontal="center"/>
      <protection hidden="1"/>
    </xf>
    <xf numFmtId="164" fontId="310" fillId="6" borderId="656" xfId="2" applyNumberFormat="1" applyFont="1" applyFill="1" applyBorder="1" applyAlignment="1" applyProtection="1">
      <alignment horizontal="center"/>
      <protection locked="0"/>
    </xf>
    <xf numFmtId="164" fontId="310" fillId="6" borderId="640" xfId="2" applyNumberFormat="1" applyFont="1" applyFill="1" applyBorder="1" applyAlignment="1" applyProtection="1">
      <alignment horizontal="center"/>
      <protection locked="0"/>
    </xf>
    <xf numFmtId="0" fontId="310" fillId="13" borderId="33" xfId="410" applyFont="1" applyFill="1" applyBorder="1" applyAlignment="1" applyProtection="1">
      <alignment horizontal="center"/>
      <protection locked="0"/>
    </xf>
    <xf numFmtId="0" fontId="310" fillId="13" borderId="41" xfId="410" applyFont="1" applyFill="1" applyBorder="1" applyAlignment="1" applyProtection="1">
      <alignment horizontal="center"/>
      <protection locked="0"/>
    </xf>
    <xf numFmtId="164" fontId="177" fillId="4" borderId="244" xfId="6" applyNumberFormat="1" applyFont="1" applyFill="1" applyBorder="1" applyAlignment="1" applyProtection="1">
      <alignment horizontal="center"/>
      <protection hidden="1"/>
    </xf>
    <xf numFmtId="164" fontId="177" fillId="4" borderId="641" xfId="6" applyNumberFormat="1" applyFont="1" applyFill="1" applyBorder="1" applyAlignment="1" applyProtection="1">
      <alignment horizontal="center"/>
      <protection hidden="1"/>
    </xf>
    <xf numFmtId="164" fontId="177" fillId="0" borderId="671" xfId="6" applyNumberFormat="1" applyFont="1" applyBorder="1" applyAlignment="1" applyProtection="1">
      <alignment horizontal="center"/>
      <protection hidden="1"/>
    </xf>
    <xf numFmtId="1" fontId="177" fillId="14" borderId="641" xfId="6" applyNumberFormat="1" applyFont="1" applyFill="1" applyBorder="1" applyAlignment="1" applyProtection="1">
      <alignment horizontal="center"/>
      <protection hidden="1"/>
    </xf>
    <xf numFmtId="0" fontId="331" fillId="87" borderId="245" xfId="6" applyNumberFormat="1" applyFont="1" applyFill="1" applyBorder="1" applyAlignment="1" applyProtection="1">
      <alignment horizontal="center" wrapText="1"/>
      <protection locked="0"/>
    </xf>
    <xf numFmtId="0" fontId="331" fillId="87" borderId="246" xfId="6" applyNumberFormat="1" applyFont="1" applyFill="1" applyBorder="1" applyAlignment="1" applyProtection="1">
      <alignment horizontal="center" wrapText="1"/>
      <protection locked="0"/>
    </xf>
    <xf numFmtId="0" fontId="331" fillId="87" borderId="249" xfId="6" applyNumberFormat="1" applyFont="1" applyFill="1" applyBorder="1" applyAlignment="1" applyProtection="1">
      <alignment horizontal="center" wrapText="1"/>
      <protection locked="0"/>
    </xf>
    <xf numFmtId="0" fontId="331" fillId="4" borderId="679" xfId="6" applyFont="1" applyFill="1" applyBorder="1" applyAlignment="1" applyProtection="1">
      <alignment horizontal="center"/>
      <protection hidden="1"/>
    </xf>
    <xf numFmtId="2" fontId="331" fillId="14" borderId="680" xfId="6" applyNumberFormat="1" applyFont="1" applyFill="1" applyBorder="1" applyAlignment="1" applyProtection="1">
      <alignment horizontal="center"/>
      <protection hidden="1"/>
    </xf>
    <xf numFmtId="0" fontId="331" fillId="0" borderId="654" xfId="6" applyFont="1" applyBorder="1" applyAlignment="1" applyProtection="1">
      <alignment horizontal="center"/>
      <protection hidden="1"/>
    </xf>
    <xf numFmtId="1" fontId="332" fillId="0" borderId="526" xfId="6" applyNumberFormat="1" applyFont="1" applyBorder="1" applyAlignment="1" applyProtection="1">
      <alignment horizontal="center"/>
      <protection hidden="1"/>
    </xf>
    <xf numFmtId="0" fontId="34" fillId="40" borderId="739" xfId="6" applyFont="1" applyFill="1" applyBorder="1" applyAlignment="1" applyProtection="1">
      <alignment horizontal="center"/>
      <protection locked="0"/>
    </xf>
    <xf numFmtId="0" fontId="175" fillId="6" borderId="739" xfId="6" applyFont="1" applyFill="1" applyBorder="1" applyAlignment="1" applyProtection="1">
      <alignment horizontal="center"/>
      <protection locked="0"/>
    </xf>
    <xf numFmtId="164" fontId="56" fillId="0" borderId="301" xfId="6" applyNumberFormat="1" applyFont="1" applyBorder="1" applyAlignment="1" applyProtection="1">
      <alignment horizontal="center"/>
      <protection hidden="1"/>
    </xf>
    <xf numFmtId="0" fontId="15" fillId="0" borderId="0" xfId="3" applyFont="1" applyAlignment="1" applyProtection="1">
      <protection hidden="1"/>
    </xf>
    <xf numFmtId="0" fontId="0" fillId="0" borderId="0" xfId="0" applyProtection="1">
      <protection hidden="1"/>
    </xf>
    <xf numFmtId="0" fontId="5" fillId="3" borderId="302" xfId="413" applyFont="1" applyFill="1" applyBorder="1" applyAlignment="1" applyProtection="1">
      <alignment horizontal="left"/>
      <protection hidden="1"/>
    </xf>
    <xf numFmtId="0" fontId="217" fillId="3" borderId="0" xfId="2" applyFont="1" applyFill="1" applyAlignment="1" applyProtection="1">
      <alignment horizontal="left" wrapText="1"/>
      <protection hidden="1"/>
    </xf>
    <xf numFmtId="0" fontId="13" fillId="3" borderId="0" xfId="3" applyFont="1" applyFill="1" applyAlignment="1" applyProtection="1">
      <alignment horizontal="right"/>
      <protection hidden="1"/>
    </xf>
    <xf numFmtId="0" fontId="26" fillId="3" borderId="0" xfId="413" applyFont="1" applyFill="1" applyAlignment="1" applyProtection="1">
      <alignment horizontal="left"/>
      <protection hidden="1"/>
    </xf>
    <xf numFmtId="0" fontId="20" fillId="3" borderId="0" xfId="2" applyFont="1" applyFill="1" applyBorder="1" applyAlignment="1" applyProtection="1">
      <alignment horizontal="right"/>
      <protection hidden="1"/>
    </xf>
    <xf numFmtId="0" fontId="20" fillId="3" borderId="301" xfId="2" applyFont="1" applyFill="1" applyBorder="1" applyAlignment="1" applyProtection="1">
      <alignment horizontal="right"/>
      <protection hidden="1"/>
    </xf>
    <xf numFmtId="0" fontId="15" fillId="0" borderId="0" xfId="3" applyFont="1" applyAlignment="1" applyProtection="1">
      <alignment horizontal="left"/>
      <protection hidden="1"/>
    </xf>
    <xf numFmtId="0" fontId="44" fillId="4" borderId="0" xfId="2" applyFont="1" applyFill="1" applyAlignment="1" applyProtection="1">
      <alignment horizontal="left"/>
      <protection hidden="1"/>
    </xf>
    <xf numFmtId="0" fontId="217" fillId="4" borderId="0" xfId="413" applyFont="1" applyFill="1" applyAlignment="1" applyProtection="1">
      <protection hidden="1"/>
    </xf>
    <xf numFmtId="0" fontId="217" fillId="4" borderId="0" xfId="413" applyFont="1" applyFill="1" applyBorder="1" applyAlignment="1" applyProtection="1">
      <protection hidden="1"/>
    </xf>
    <xf numFmtId="0" fontId="5" fillId="3" borderId="0" xfId="2" applyFont="1" applyFill="1" applyAlignment="1" applyProtection="1">
      <alignment horizontal="left"/>
      <protection hidden="1"/>
    </xf>
    <xf numFmtId="0" fontId="15" fillId="0" borderId="0" xfId="3" applyFont="1" applyProtection="1">
      <alignment vertical="top"/>
      <protection hidden="1"/>
    </xf>
    <xf numFmtId="0" fontId="26" fillId="3" borderId="0" xfId="2" applyFont="1" applyFill="1" applyBorder="1" applyAlignment="1" applyProtection="1">
      <alignment horizontal="right"/>
      <protection hidden="1"/>
    </xf>
    <xf numFmtId="0" fontId="5" fillId="3" borderId="0" xfId="2" applyFill="1" applyBorder="1" applyAlignment="1" applyProtection="1">
      <alignment horizontal="left"/>
      <protection hidden="1"/>
    </xf>
    <xf numFmtId="0" fontId="5" fillId="3" borderId="0" xfId="2" applyFill="1" applyAlignment="1" applyProtection="1">
      <alignment horizontal="left"/>
      <protection hidden="1"/>
    </xf>
    <xf numFmtId="0" fontId="5" fillId="3" borderId="0" xfId="2" applyFill="1" applyAlignment="1" applyProtection="1">
      <protection hidden="1"/>
    </xf>
    <xf numFmtId="0" fontId="5" fillId="3" borderId="0" xfId="2" applyFont="1" applyFill="1" applyAlignment="1" applyProtection="1">
      <alignment horizontal="left" wrapText="1"/>
      <protection hidden="1"/>
    </xf>
    <xf numFmtId="0" fontId="13" fillId="3" borderId="0" xfId="3" applyFont="1" applyFill="1" applyAlignment="1" applyProtection="1">
      <alignment horizontal="left"/>
      <protection hidden="1"/>
    </xf>
    <xf numFmtId="0" fontId="71" fillId="14" borderId="0" xfId="2" applyFont="1" applyFill="1" applyAlignment="1" applyProtection="1">
      <alignment horizontal="left"/>
      <protection hidden="1"/>
    </xf>
    <xf numFmtId="0" fontId="8" fillId="3" borderId="0" xfId="2" applyFont="1" applyFill="1" applyAlignment="1" applyProtection="1">
      <alignment horizontal="center"/>
      <protection hidden="1"/>
    </xf>
    <xf numFmtId="0" fontId="2" fillId="3" borderId="0" xfId="2" applyFont="1" applyFill="1" applyAlignment="1" applyProtection="1">
      <protection hidden="1"/>
    </xf>
    <xf numFmtId="0" fontId="5" fillId="3" borderId="0" xfId="2" applyFont="1" applyFill="1" applyAlignment="1" applyProtection="1">
      <protection hidden="1"/>
    </xf>
    <xf numFmtId="0" fontId="5" fillId="0" borderId="0" xfId="2" applyAlignment="1" applyProtection="1">
      <alignment horizontal="center"/>
      <protection hidden="1"/>
    </xf>
    <xf numFmtId="0" fontId="5" fillId="2" borderId="0" xfId="2" applyFill="1" applyBorder="1" applyAlignment="1" applyProtection="1">
      <alignment horizontal="left"/>
      <protection hidden="1"/>
    </xf>
    <xf numFmtId="0" fontId="1" fillId="0" borderId="0" xfId="0" applyFont="1" applyProtection="1">
      <protection hidden="1"/>
    </xf>
    <xf numFmtId="0" fontId="5" fillId="3" borderId="628" xfId="2" applyFill="1" applyBorder="1" applyAlignment="1" applyProtection="1">
      <alignment horizontal="center"/>
      <protection hidden="1"/>
    </xf>
    <xf numFmtId="1" fontId="5" fillId="3" borderId="628" xfId="2" applyNumberFormat="1" applyFill="1" applyBorder="1" applyAlignment="1" applyProtection="1">
      <alignment horizontal="center"/>
      <protection hidden="1"/>
    </xf>
    <xf numFmtId="0" fontId="2" fillId="3" borderId="0" xfId="2" applyFont="1" applyFill="1" applyAlignment="1" applyProtection="1">
      <alignment horizontal="right"/>
      <protection hidden="1"/>
    </xf>
    <xf numFmtId="0" fontId="13" fillId="3" borderId="0" xfId="3" applyFont="1" applyFill="1" applyAlignment="1" applyProtection="1">
      <alignment horizontal="right" vertical="center"/>
      <protection hidden="1"/>
    </xf>
    <xf numFmtId="0" fontId="15" fillId="4" borderId="0" xfId="3" applyFont="1" applyFill="1" applyBorder="1" applyAlignment="1" applyProtection="1">
      <alignment horizontal="left"/>
      <protection hidden="1"/>
    </xf>
    <xf numFmtId="0" fontId="5" fillId="3" borderId="654" xfId="2" applyFont="1" applyFill="1" applyBorder="1" applyAlignment="1" applyProtection="1">
      <alignment horizontal="center"/>
      <protection hidden="1"/>
    </xf>
    <xf numFmtId="0" fontId="21" fillId="3" borderId="0" xfId="1" applyFont="1" applyFill="1" applyAlignment="1" applyProtection="1">
      <alignment horizontal="left"/>
      <protection hidden="1"/>
    </xf>
    <xf numFmtId="0" fontId="26" fillId="4" borderId="0" xfId="2" applyFont="1" applyFill="1" applyAlignment="1" applyProtection="1">
      <alignment horizontal="left"/>
      <protection hidden="1"/>
    </xf>
    <xf numFmtId="0" fontId="51" fillId="4" borderId="0" xfId="0" applyFont="1" applyFill="1" applyBorder="1" applyAlignment="1" applyProtection="1">
      <alignment horizontal="center" vertical="center"/>
      <protection hidden="1"/>
    </xf>
    <xf numFmtId="0" fontId="14" fillId="3" borderId="0" xfId="2" applyFont="1" applyFill="1" applyAlignment="1" applyProtection="1">
      <alignment horizontal="right"/>
      <protection hidden="1"/>
    </xf>
    <xf numFmtId="0" fontId="5" fillId="3" borderId="0" xfId="1" applyFont="1" applyFill="1" applyAlignment="1" applyProtection="1">
      <protection hidden="1"/>
    </xf>
    <xf numFmtId="0" fontId="44" fillId="4" borderId="0" xfId="2" applyFont="1" applyFill="1" applyAlignment="1" applyProtection="1">
      <alignment horizontal="center"/>
      <protection hidden="1"/>
    </xf>
    <xf numFmtId="0" fontId="5" fillId="3" borderId="0" xfId="2" applyFill="1" applyBorder="1" applyAlignment="1" applyProtection="1">
      <alignment horizontal="right"/>
      <protection hidden="1"/>
    </xf>
    <xf numFmtId="164" fontId="5" fillId="3" borderId="30" xfId="2" applyNumberFormat="1" applyFill="1" applyBorder="1" applyAlignment="1" applyProtection="1">
      <alignment horizontal="left"/>
      <protection hidden="1"/>
    </xf>
    <xf numFmtId="0" fontId="5" fillId="3" borderId="115" xfId="2" applyFont="1" applyFill="1" applyBorder="1" applyAlignment="1" applyProtection="1">
      <alignment horizontal="center"/>
      <protection hidden="1"/>
    </xf>
    <xf numFmtId="0" fontId="15" fillId="0" borderId="0" xfId="3" applyFont="1" applyAlignment="1" applyProtection="1">
      <alignment horizontal="right"/>
      <protection hidden="1"/>
    </xf>
    <xf numFmtId="0" fontId="5" fillId="3" borderId="0" xfId="2" applyFill="1" applyBorder="1" applyAlignment="1" applyProtection="1">
      <alignment horizontal="left" wrapText="1"/>
      <protection hidden="1"/>
    </xf>
    <xf numFmtId="0" fontId="5" fillId="3" borderId="0" xfId="2" applyFill="1" applyBorder="1" applyAlignment="1" applyProtection="1">
      <alignment wrapText="1"/>
      <protection hidden="1"/>
    </xf>
    <xf numFmtId="0" fontId="5" fillId="3" borderId="0" xfId="2" applyFont="1" applyFill="1" applyAlignment="1" applyProtection="1">
      <alignment horizontal="left" vertical="center" wrapText="1"/>
      <protection hidden="1"/>
    </xf>
    <xf numFmtId="0" fontId="14" fillId="3" borderId="0" xfId="2" applyFont="1" applyFill="1" applyAlignment="1" applyProtection="1">
      <alignment vertical="top" wrapText="1"/>
      <protection hidden="1"/>
    </xf>
    <xf numFmtId="0" fontId="5" fillId="2" borderId="177" xfId="200" applyFont="1" applyFill="1" applyBorder="1" applyAlignment="1" applyProtection="1">
      <alignment horizontal="center"/>
      <protection hidden="1"/>
    </xf>
    <xf numFmtId="0" fontId="5" fillId="3" borderId="0" xfId="2" applyFont="1" applyFill="1" applyAlignment="1" applyProtection="1">
      <alignment horizontal="center"/>
      <protection hidden="1"/>
    </xf>
    <xf numFmtId="164" fontId="5" fillId="3" borderId="0" xfId="2" applyNumberFormat="1" applyFill="1" applyBorder="1" applyAlignment="1" applyProtection="1">
      <alignment horizontal="left"/>
      <protection hidden="1"/>
    </xf>
    <xf numFmtId="0" fontId="32" fillId="3" borderId="0" xfId="2" applyFont="1" applyFill="1" applyBorder="1" applyAlignment="1" applyProtection="1">
      <alignment horizontal="left"/>
      <protection hidden="1"/>
    </xf>
    <xf numFmtId="0" fontId="5" fillId="0" borderId="0" xfId="1" applyFont="1" applyBorder="1" applyAlignment="1" applyProtection="1">
      <protection hidden="1"/>
    </xf>
    <xf numFmtId="0" fontId="26" fillId="0" borderId="0" xfId="2" applyFont="1" applyAlignment="1" applyProtection="1">
      <alignment horizontal="center"/>
      <protection hidden="1"/>
    </xf>
    <xf numFmtId="0" fontId="96" fillId="0" borderId="0" xfId="2" applyFont="1" applyAlignment="1" applyProtection="1">
      <alignment horizontal="center" vertical="center"/>
      <protection hidden="1"/>
    </xf>
    <xf numFmtId="0" fontId="45" fillId="3" borderId="0" xfId="3" applyFont="1" applyFill="1" applyAlignment="1" applyProtection="1">
      <protection hidden="1"/>
    </xf>
    <xf numFmtId="0" fontId="45" fillId="2" borderId="0" xfId="3" applyFont="1" applyFill="1" applyAlignment="1" applyProtection="1">
      <protection hidden="1"/>
    </xf>
    <xf numFmtId="0" fontId="32" fillId="4" borderId="0" xfId="2" applyFont="1" applyFill="1" applyBorder="1" applyAlignment="1" applyProtection="1">
      <alignment horizontal="left"/>
      <protection hidden="1"/>
    </xf>
    <xf numFmtId="0" fontId="15" fillId="0" borderId="301" xfId="3" applyFont="1" applyBorder="1" applyAlignment="1" applyProtection="1">
      <alignment horizontal="left"/>
      <protection hidden="1"/>
    </xf>
    <xf numFmtId="0" fontId="9" fillId="3" borderId="0" xfId="6" applyFont="1" applyFill="1" applyBorder="1" applyAlignment="1" applyProtection="1">
      <alignment horizontal="left"/>
      <protection hidden="1"/>
    </xf>
    <xf numFmtId="0" fontId="32" fillId="4" borderId="0" xfId="6" applyFont="1" applyFill="1" applyBorder="1" applyAlignment="1" applyProtection="1">
      <alignment horizontal="left"/>
      <protection hidden="1"/>
    </xf>
    <xf numFmtId="0" fontId="9" fillId="4" borderId="0" xfId="6" applyFont="1" applyFill="1" applyBorder="1" applyAlignment="1" applyProtection="1">
      <alignment horizontal="left"/>
      <protection hidden="1"/>
    </xf>
    <xf numFmtId="0" fontId="1" fillId="4" borderId="0" xfId="6" applyFont="1" applyFill="1" applyBorder="1" applyAlignment="1" applyProtection="1">
      <alignment horizontal="center"/>
      <protection hidden="1"/>
    </xf>
    <xf numFmtId="0" fontId="5" fillId="3" borderId="0" xfId="6" applyFont="1" applyFill="1" applyBorder="1" applyAlignment="1" applyProtection="1">
      <alignment horizontal="left" wrapText="1"/>
      <protection hidden="1"/>
    </xf>
    <xf numFmtId="0" fontId="5" fillId="3" borderId="0" xfId="6" applyFont="1" applyFill="1" applyAlignment="1" applyProtection="1">
      <alignment horizontal="left"/>
      <protection hidden="1"/>
    </xf>
    <xf numFmtId="0" fontId="1" fillId="4" borderId="0" xfId="6" applyFont="1" applyFill="1" applyBorder="1" applyAlignment="1" applyProtection="1">
      <alignment horizontal="left"/>
      <protection hidden="1"/>
    </xf>
    <xf numFmtId="0" fontId="15" fillId="0" borderId="0" xfId="3" applyFont="1" applyAlignment="1" applyProtection="1">
      <alignment wrapText="1"/>
      <protection hidden="1"/>
    </xf>
    <xf numFmtId="0" fontId="2" fillId="4" borderId="0" xfId="2" applyFont="1" applyFill="1" applyAlignment="1" applyProtection="1">
      <alignment horizontal="right"/>
      <protection hidden="1"/>
    </xf>
    <xf numFmtId="0" fontId="5" fillId="0" borderId="0" xfId="2" applyAlignment="1" applyProtection="1">
      <protection hidden="1"/>
    </xf>
    <xf numFmtId="0" fontId="5" fillId="0" borderId="0" xfId="2" applyAlignment="1" applyProtection="1">
      <alignment horizontal="right"/>
      <protection hidden="1"/>
    </xf>
    <xf numFmtId="0" fontId="13" fillId="3" borderId="0" xfId="3" applyFont="1" applyFill="1" applyAlignment="1" applyProtection="1">
      <protection hidden="1"/>
    </xf>
    <xf numFmtId="0" fontId="5" fillId="2" borderId="0" xfId="2" applyFill="1" applyAlignment="1" applyProtection="1">
      <alignment wrapText="1"/>
      <protection hidden="1"/>
    </xf>
    <xf numFmtId="0" fontId="220" fillId="4" borderId="0" xfId="429" applyFont="1" applyFill="1" applyBorder="1" applyAlignment="1" applyProtection="1">
      <alignment horizontal="left"/>
      <protection hidden="1"/>
    </xf>
    <xf numFmtId="0" fontId="5" fillId="3" borderId="0" xfId="1" applyFont="1" applyFill="1" applyAlignment="1" applyProtection="1">
      <alignment horizontal="left" wrapText="1"/>
      <protection hidden="1"/>
    </xf>
    <xf numFmtId="0" fontId="59" fillId="3" borderId="743" xfId="2" applyFont="1" applyFill="1" applyBorder="1" applyAlignment="1" applyProtection="1">
      <alignment horizontal="center"/>
      <protection hidden="1"/>
    </xf>
    <xf numFmtId="0" fontId="44" fillId="5" borderId="302" xfId="2" applyFont="1" applyFill="1" applyBorder="1" applyAlignment="1" applyProtection="1">
      <alignment horizontal="center"/>
      <protection locked="0"/>
    </xf>
    <xf numFmtId="0" fontId="5" fillId="5" borderId="383" xfId="2" applyFill="1" applyBorder="1" applyAlignment="1" applyProtection="1">
      <alignment horizontal="center"/>
      <protection locked="0"/>
    </xf>
    <xf numFmtId="164" fontId="51" fillId="2" borderId="383" xfId="2" applyNumberFormat="1" applyFont="1" applyFill="1" applyBorder="1" applyAlignment="1" applyProtection="1">
      <alignment horizontal="center"/>
      <protection hidden="1"/>
    </xf>
    <xf numFmtId="1" fontId="52" fillId="3" borderId="362" xfId="429" applyNumberFormat="1" applyFont="1" applyFill="1" applyBorder="1" applyAlignment="1" applyProtection="1">
      <alignment horizontal="center"/>
      <protection hidden="1"/>
    </xf>
    <xf numFmtId="164" fontId="52" fillId="3" borderId="516" xfId="2" applyNumberFormat="1" applyFont="1" applyFill="1" applyBorder="1" applyAlignment="1" applyProtection="1">
      <alignment horizontal="center" wrapText="1"/>
      <protection hidden="1"/>
    </xf>
    <xf numFmtId="0" fontId="5" fillId="5" borderId="744" xfId="2" applyFill="1" applyBorder="1" applyAlignment="1" applyProtection="1">
      <alignment horizontal="center"/>
      <protection locked="0"/>
    </xf>
    <xf numFmtId="164" fontId="64" fillId="16" borderId="746" xfId="429" applyNumberFormat="1" applyFont="1" applyFill="1" applyBorder="1" applyAlignment="1" applyProtection="1">
      <alignment horizontal="center"/>
      <protection locked="0"/>
    </xf>
    <xf numFmtId="0" fontId="5" fillId="5" borderId="746" xfId="429" applyFont="1" applyFill="1" applyBorder="1" applyAlignment="1" applyProtection="1">
      <alignment horizontal="center"/>
      <protection locked="0"/>
    </xf>
    <xf numFmtId="166" fontId="230" fillId="2" borderId="746" xfId="2" applyNumberFormat="1" applyFont="1" applyFill="1" applyBorder="1" applyAlignment="1" applyProtection="1">
      <alignment horizontal="center"/>
      <protection hidden="1"/>
    </xf>
    <xf numFmtId="2" fontId="230" fillId="2" borderId="746" xfId="2" applyNumberFormat="1" applyFont="1" applyFill="1" applyBorder="1" applyAlignment="1" applyProtection="1">
      <alignment horizontal="center"/>
      <protection hidden="1"/>
    </xf>
    <xf numFmtId="164" fontId="233" fillId="3" borderId="746" xfId="429" applyNumberFormat="1" applyFont="1" applyFill="1" applyBorder="1" applyAlignment="1" applyProtection="1">
      <alignment horizontal="center"/>
      <protection hidden="1"/>
    </xf>
    <xf numFmtId="164" fontId="51" fillId="3" borderId="744" xfId="2" applyNumberFormat="1" applyFont="1" applyFill="1" applyBorder="1" applyAlignment="1" applyProtection="1">
      <alignment horizontal="center"/>
      <protection hidden="1"/>
    </xf>
    <xf numFmtId="164" fontId="51" fillId="3" borderId="746" xfId="2" applyNumberFormat="1" applyFont="1" applyFill="1" applyBorder="1" applyAlignment="1" applyProtection="1">
      <alignment horizontal="center"/>
      <protection hidden="1"/>
    </xf>
    <xf numFmtId="164" fontId="27" fillId="3" borderId="746" xfId="2" applyNumberFormat="1" applyFont="1" applyFill="1" applyBorder="1" applyAlignment="1" applyProtection="1">
      <alignment horizontal="center"/>
      <protection hidden="1"/>
    </xf>
    <xf numFmtId="0" fontId="102" fillId="5" borderId="748" xfId="2" applyFont="1" applyFill="1" applyBorder="1" applyAlignment="1" applyProtection="1">
      <alignment horizontal="center"/>
      <protection locked="0"/>
    </xf>
    <xf numFmtId="1" fontId="52" fillId="3" borderId="746" xfId="429" applyNumberFormat="1" applyFont="1" applyFill="1" applyBorder="1" applyAlignment="1" applyProtection="1">
      <alignment horizontal="center"/>
      <protection hidden="1"/>
    </xf>
    <xf numFmtId="1" fontId="52" fillId="3" borderId="745" xfId="429" applyNumberFormat="1" applyFont="1" applyFill="1" applyBorder="1" applyAlignment="1" applyProtection="1">
      <alignment horizontal="center"/>
      <protection hidden="1"/>
    </xf>
    <xf numFmtId="1" fontId="102" fillId="3" borderId="746" xfId="429" applyNumberFormat="1" applyFont="1" applyFill="1" applyBorder="1" applyAlignment="1" applyProtection="1">
      <alignment horizontal="center"/>
      <protection hidden="1"/>
    </xf>
    <xf numFmtId="164" fontId="52" fillId="3" borderId="746" xfId="429" applyNumberFormat="1" applyFont="1" applyFill="1" applyBorder="1" applyAlignment="1" applyProtection="1">
      <alignment horizontal="center"/>
      <protection hidden="1"/>
    </xf>
    <xf numFmtId="164" fontId="52" fillId="3" borderId="749" xfId="2" applyNumberFormat="1" applyFont="1" applyFill="1" applyBorder="1" applyAlignment="1" applyProtection="1">
      <alignment horizontal="center" wrapText="1"/>
      <protection hidden="1"/>
    </xf>
    <xf numFmtId="0" fontId="5" fillId="2" borderId="0" xfId="1" applyFont="1" applyFill="1" applyAlignment="1" applyProtection="1">
      <alignment horizontal="left"/>
    </xf>
    <xf numFmtId="1" fontId="5" fillId="2" borderId="0" xfId="198" applyNumberFormat="1" applyFont="1" applyFill="1" applyProtection="1"/>
    <xf numFmtId="0" fontId="5" fillId="2" borderId="0" xfId="198" applyFont="1" applyFill="1" applyProtection="1"/>
    <xf numFmtId="164" fontId="52" fillId="4" borderId="416" xfId="413" applyNumberFormat="1" applyFont="1" applyFill="1" applyBorder="1" applyAlignment="1" applyProtection="1">
      <alignment horizontal="center"/>
      <protection hidden="1"/>
    </xf>
    <xf numFmtId="0" fontId="5" fillId="13" borderId="441" xfId="2" applyFill="1" applyBorder="1" applyAlignment="1" applyProtection="1">
      <alignment horizontal="center"/>
      <protection locked="0"/>
    </xf>
    <xf numFmtId="0" fontId="61" fillId="0" borderId="0" xfId="1" applyFont="1" applyBorder="1" applyProtection="1">
      <protection hidden="1"/>
    </xf>
    <xf numFmtId="0" fontId="5" fillId="13" borderId="585" xfId="0" applyNumberFormat="1" applyFont="1" applyFill="1" applyBorder="1" applyAlignment="1" applyProtection="1">
      <alignment horizontal="center"/>
      <protection locked="0"/>
    </xf>
    <xf numFmtId="1" fontId="106" fillId="0" borderId="123" xfId="2" applyNumberFormat="1" applyFont="1" applyBorder="1" applyProtection="1">
      <protection hidden="1"/>
    </xf>
    <xf numFmtId="0" fontId="106" fillId="0" borderId="154" xfId="6" applyFont="1" applyBorder="1" applyAlignment="1" applyProtection="1">
      <alignment horizontal="left"/>
      <protection hidden="1"/>
    </xf>
    <xf numFmtId="0" fontId="61" fillId="0" borderId="692" xfId="6" applyFont="1" applyBorder="1" applyProtection="1">
      <protection hidden="1"/>
    </xf>
    <xf numFmtId="0" fontId="61" fillId="0" borderId="640" xfId="6" applyFont="1" applyBorder="1" applyProtection="1">
      <protection hidden="1"/>
    </xf>
    <xf numFmtId="0" fontId="95" fillId="0" borderId="10" xfId="6" applyFont="1" applyBorder="1" applyProtection="1">
      <protection hidden="1"/>
    </xf>
    <xf numFmtId="0" fontId="61" fillId="0" borderId="10" xfId="6" applyFont="1" applyBorder="1" applyProtection="1">
      <protection hidden="1"/>
    </xf>
    <xf numFmtId="0" fontId="5" fillId="0" borderId="692" xfId="6" applyFont="1" applyBorder="1" applyAlignment="1" applyProtection="1">
      <alignment horizontal="left"/>
    </xf>
    <xf numFmtId="0" fontId="175" fillId="0" borderId="154" xfId="6" applyFont="1" applyBorder="1" applyAlignment="1" applyProtection="1">
      <alignment horizontal="left"/>
    </xf>
    <xf numFmtId="0" fontId="61" fillId="0" borderId="154" xfId="6" applyFont="1" applyBorder="1" applyAlignment="1" applyProtection="1">
      <alignment horizontal="left"/>
    </xf>
    <xf numFmtId="0" fontId="155" fillId="5" borderId="671" xfId="286" applyFont="1" applyFill="1" applyBorder="1" applyAlignment="1" applyProtection="1">
      <alignment horizontal="center"/>
      <protection locked="0"/>
    </xf>
    <xf numFmtId="0" fontId="155" fillId="5" borderId="34" xfId="286" applyFont="1" applyFill="1" applyBorder="1" applyAlignment="1" applyProtection="1">
      <alignment horizontal="center"/>
      <protection locked="0"/>
    </xf>
    <xf numFmtId="0" fontId="155" fillId="7" borderId="264" xfId="6" applyFont="1" applyFill="1" applyBorder="1" applyAlignment="1" applyProtection="1">
      <alignment horizontal="center"/>
      <protection locked="0"/>
    </xf>
    <xf numFmtId="0" fontId="5" fillId="2" borderId="230" xfId="1" applyFont="1" applyFill="1" applyBorder="1" applyAlignment="1" applyProtection="1">
      <alignment horizontal="left"/>
      <protection hidden="1"/>
    </xf>
    <xf numFmtId="1" fontId="5" fillId="2" borderId="230" xfId="1" applyNumberFormat="1" applyFont="1" applyFill="1" applyBorder="1" applyAlignment="1" applyProtection="1">
      <alignment horizontal="center"/>
      <protection hidden="1"/>
    </xf>
    <xf numFmtId="0" fontId="5" fillId="2" borderId="230" xfId="1" applyFont="1" applyFill="1" applyBorder="1" applyAlignment="1" applyProtection="1">
      <alignment horizontal="center"/>
      <protection hidden="1"/>
    </xf>
    <xf numFmtId="166" fontId="1" fillId="5" borderId="0" xfId="4" applyNumberFormat="1" applyFont="1" applyFill="1" applyAlignment="1" applyProtection="1">
      <alignment horizontal="right"/>
      <protection locked="0"/>
    </xf>
    <xf numFmtId="0" fontId="1" fillId="5" borderId="0" xfId="424" applyFont="1" applyFill="1" applyAlignment="1" applyProtection="1">
      <alignment horizontal="right"/>
      <protection locked="0"/>
    </xf>
    <xf numFmtId="0" fontId="15" fillId="0" borderId="0" xfId="3" applyFont="1" applyAlignment="1" applyProtection="1">
      <alignment horizontal="left"/>
      <protection hidden="1"/>
    </xf>
    <xf numFmtId="0" fontId="1" fillId="4" borderId="0" xfId="429" applyFont="1" applyFill="1" applyAlignment="1" applyProtection="1">
      <alignment horizontal="left" vertical="center" wrapText="1"/>
      <protection hidden="1"/>
    </xf>
    <xf numFmtId="0" fontId="174" fillId="14" borderId="0" xfId="413" applyFont="1" applyFill="1" applyProtection="1">
      <protection hidden="1"/>
    </xf>
    <xf numFmtId="0" fontId="174" fillId="3" borderId="0" xfId="2" applyFont="1" applyFill="1" applyProtection="1">
      <protection hidden="1"/>
    </xf>
    <xf numFmtId="0" fontId="174" fillId="3" borderId="0" xfId="2" applyFont="1" applyFill="1" applyAlignment="1" applyProtection="1">
      <alignment horizontal="left"/>
      <protection hidden="1"/>
    </xf>
    <xf numFmtId="165" fontId="174" fillId="3" borderId="0" xfId="2" applyNumberFormat="1" applyFont="1" applyFill="1" applyAlignment="1" applyProtection="1">
      <alignment horizontal="left"/>
      <protection hidden="1"/>
    </xf>
    <xf numFmtId="0" fontId="1" fillId="2" borderId="0" xfId="2" applyFont="1" applyFill="1" applyAlignment="1" applyProtection="1">
      <alignment horizontal="left"/>
      <protection hidden="1"/>
    </xf>
    <xf numFmtId="0" fontId="39" fillId="4" borderId="0" xfId="2" applyFont="1" applyFill="1" applyAlignment="1" applyProtection="1">
      <alignment horizontal="center"/>
      <protection hidden="1"/>
    </xf>
    <xf numFmtId="2" fontId="39" fillId="4" borderId="0" xfId="2" applyNumberFormat="1" applyFont="1" applyFill="1" applyAlignment="1" applyProtection="1">
      <alignment horizontal="left"/>
      <protection hidden="1"/>
    </xf>
    <xf numFmtId="0" fontId="174" fillId="4" borderId="0" xfId="413" applyFont="1" applyFill="1" applyProtection="1">
      <protection hidden="1"/>
    </xf>
    <xf numFmtId="0" fontId="39" fillId="4" borderId="0" xfId="413" applyFont="1" applyFill="1" applyProtection="1">
      <protection hidden="1"/>
    </xf>
    <xf numFmtId="2" fontId="39" fillId="88" borderId="0" xfId="2" applyNumberFormat="1" applyFont="1" applyFill="1" applyProtection="1">
      <protection hidden="1"/>
    </xf>
    <xf numFmtId="2" fontId="174" fillId="4" borderId="0" xfId="1" applyNumberFormat="1" applyFont="1" applyFill="1" applyProtection="1">
      <protection hidden="1"/>
    </xf>
    <xf numFmtId="0" fontId="174" fillId="2" borderId="0" xfId="2" applyFont="1" applyFill="1" applyAlignment="1" applyProtection="1">
      <alignment horizontal="left"/>
      <protection hidden="1"/>
    </xf>
    <xf numFmtId="2" fontId="333" fillId="2" borderId="0" xfId="2" applyNumberFormat="1" applyFont="1" applyFill="1" applyBorder="1" applyAlignment="1" applyProtection="1">
      <alignment horizontal="center"/>
      <protection hidden="1"/>
    </xf>
    <xf numFmtId="0" fontId="5" fillId="0" borderId="399" xfId="413" applyFont="1" applyBorder="1" applyAlignment="1" applyProtection="1">
      <alignment horizontal="left"/>
      <protection hidden="1"/>
    </xf>
    <xf numFmtId="0" fontId="15" fillId="4" borderId="0" xfId="3" applyFont="1" applyFill="1" applyAlignment="1" applyProtection="1">
      <alignment horizontal="left"/>
      <protection hidden="1"/>
    </xf>
    <xf numFmtId="2" fontId="1" fillId="2" borderId="0" xfId="2" applyNumberFormat="1" applyFont="1" applyFill="1" applyAlignment="1" applyProtection="1">
      <protection hidden="1"/>
    </xf>
    <xf numFmtId="2" fontId="27" fillId="3" borderId="640" xfId="2" applyNumberFormat="1" applyFont="1" applyFill="1" applyBorder="1" applyAlignment="1" applyProtection="1">
      <alignment horizontal="center"/>
      <protection hidden="1"/>
    </xf>
    <xf numFmtId="2" fontId="27" fillId="3" borderId="746" xfId="2" applyNumberFormat="1" applyFont="1" applyFill="1" applyBorder="1" applyAlignment="1" applyProtection="1">
      <alignment horizontal="center"/>
      <protection hidden="1"/>
    </xf>
    <xf numFmtId="0" fontId="6" fillId="3" borderId="0" xfId="1" applyFont="1" applyFill="1" applyAlignment="1" applyProtection="1">
      <alignment wrapText="1"/>
      <protection hidden="1"/>
    </xf>
    <xf numFmtId="0" fontId="292" fillId="0" borderId="405" xfId="413" applyFont="1" applyBorder="1" applyAlignment="1" applyProtection="1">
      <alignment horizontal="left"/>
      <protection hidden="1"/>
    </xf>
    <xf numFmtId="0" fontId="292" fillId="0" borderId="408" xfId="413" applyFont="1" applyBorder="1" applyAlignment="1" applyProtection="1">
      <alignment horizontal="left"/>
      <protection hidden="1"/>
    </xf>
    <xf numFmtId="0" fontId="292" fillId="0" borderId="406" xfId="413" applyFont="1" applyBorder="1" applyAlignment="1" applyProtection="1">
      <alignment horizontal="left"/>
      <protection hidden="1"/>
    </xf>
    <xf numFmtId="0" fontId="178" fillId="2" borderId="0" xfId="413" applyFont="1" applyFill="1" applyAlignment="1" applyProtection="1">
      <alignment vertical="top"/>
      <protection hidden="1"/>
    </xf>
    <xf numFmtId="0" fontId="178" fillId="2" borderId="0" xfId="2" applyFont="1" applyFill="1" applyAlignment="1" applyProtection="1">
      <alignment horizontal="left"/>
      <protection hidden="1"/>
    </xf>
    <xf numFmtId="0" fontId="178" fillId="2" borderId="0" xfId="413" applyFont="1" applyFill="1" applyAlignment="1" applyProtection="1">
      <protection hidden="1"/>
    </xf>
    <xf numFmtId="0" fontId="8" fillId="2" borderId="0" xfId="2" applyFont="1" applyFill="1" applyAlignment="1" applyProtection="1">
      <alignment horizontal="left"/>
      <protection hidden="1"/>
    </xf>
    <xf numFmtId="0" fontId="44" fillId="2" borderId="171" xfId="2" applyFont="1" applyFill="1" applyBorder="1" applyProtection="1">
      <protection hidden="1"/>
    </xf>
    <xf numFmtId="0" fontId="44" fillId="5" borderId="641" xfId="2" applyFont="1" applyFill="1" applyBorder="1" applyAlignment="1" applyProtection="1">
      <alignment horizontal="center"/>
      <protection locked="0"/>
    </xf>
    <xf numFmtId="1" fontId="71" fillId="2" borderId="641" xfId="2" applyNumberFormat="1" applyFont="1" applyFill="1" applyBorder="1" applyAlignment="1" applyProtection="1">
      <protection hidden="1"/>
    </xf>
    <xf numFmtId="0" fontId="5" fillId="3" borderId="0" xfId="3" applyFont="1" applyFill="1" applyAlignment="1" applyProtection="1">
      <alignment vertical="center" wrapText="1"/>
      <protection hidden="1"/>
    </xf>
    <xf numFmtId="0" fontId="115" fillId="0" borderId="640" xfId="3" applyFont="1" applyBorder="1" applyAlignment="1" applyProtection="1">
      <alignment horizontal="left"/>
      <protection hidden="1"/>
    </xf>
    <xf numFmtId="0" fontId="47" fillId="4" borderId="0" xfId="2" applyFont="1" applyFill="1" applyAlignment="1" applyProtection="1">
      <alignment vertical="center"/>
      <protection hidden="1"/>
    </xf>
    <xf numFmtId="0" fontId="93" fillId="6" borderId="522" xfId="2" applyFont="1" applyFill="1" applyBorder="1" applyProtection="1">
      <protection hidden="1"/>
    </xf>
    <xf numFmtId="0" fontId="14" fillId="3" borderId="750" xfId="2" applyFont="1" applyFill="1" applyBorder="1" applyAlignment="1" applyProtection="1">
      <alignment horizontal="center"/>
      <protection hidden="1"/>
    </xf>
    <xf numFmtId="0" fontId="5" fillId="0" borderId="302" xfId="2" applyBorder="1" applyAlignment="1" applyProtection="1">
      <alignment horizontal="left"/>
      <protection hidden="1"/>
    </xf>
    <xf numFmtId="169" fontId="8" fillId="0" borderId="0" xfId="429" applyNumberFormat="1" applyFont="1" applyBorder="1" applyAlignment="1" applyProtection="1">
      <protection hidden="1"/>
    </xf>
    <xf numFmtId="0" fontId="44" fillId="47" borderId="0" xfId="283" applyFont="1" applyFill="1" applyBorder="1" applyAlignment="1" applyProtection="1">
      <alignment horizontal="left"/>
      <protection hidden="1"/>
    </xf>
    <xf numFmtId="0" fontId="229" fillId="0" borderId="302" xfId="2" applyFont="1" applyBorder="1" applyAlignment="1" applyProtection="1">
      <alignment horizontal="left"/>
      <protection hidden="1"/>
    </xf>
    <xf numFmtId="0" fontId="5" fillId="0" borderId="302" xfId="2" applyFont="1" applyBorder="1" applyProtection="1">
      <protection hidden="1"/>
    </xf>
    <xf numFmtId="0" fontId="5" fillId="0" borderId="466" xfId="2" applyFont="1" applyFill="1" applyBorder="1" applyAlignment="1" applyProtection="1">
      <alignment horizontal="right"/>
      <protection hidden="1"/>
    </xf>
    <xf numFmtId="171" fontId="5" fillId="0" borderId="399" xfId="1" applyNumberFormat="1" applyFont="1" applyFill="1" applyBorder="1" applyAlignment="1" applyProtection="1">
      <alignment horizontal="center" wrapText="1"/>
      <protection hidden="1"/>
    </xf>
    <xf numFmtId="164" fontId="5" fillId="0" borderId="0" xfId="2" applyNumberFormat="1" applyFont="1" applyAlignment="1" applyProtection="1">
      <alignment horizontal="right"/>
      <protection hidden="1"/>
    </xf>
    <xf numFmtId="0" fontId="1" fillId="4" borderId="734" xfId="429" applyFont="1" applyFill="1" applyBorder="1" applyAlignment="1" applyProtection="1">
      <protection hidden="1"/>
    </xf>
    <xf numFmtId="0" fontId="8" fillId="4" borderId="734" xfId="2" applyFont="1" applyFill="1" applyBorder="1" applyAlignment="1" applyProtection="1">
      <alignment vertical="center"/>
      <protection hidden="1"/>
    </xf>
    <xf numFmtId="0" fontId="26" fillId="0" borderId="466" xfId="1" applyFont="1" applyFill="1" applyBorder="1" applyAlignment="1" applyProtection="1">
      <alignment horizontal="center"/>
      <protection hidden="1"/>
    </xf>
    <xf numFmtId="166" fontId="26" fillId="0" borderId="399" xfId="1" applyNumberFormat="1" applyFont="1" applyFill="1" applyBorder="1" applyAlignment="1" applyProtection="1">
      <alignment horizontal="center" vertical="center" wrapText="1"/>
      <protection hidden="1"/>
    </xf>
    <xf numFmtId="166" fontId="44" fillId="2" borderId="302" xfId="2" applyNumberFormat="1" applyFont="1" applyFill="1" applyBorder="1" applyAlignment="1" applyProtection="1">
      <alignment horizontal="center"/>
      <protection hidden="1"/>
    </xf>
    <xf numFmtId="0" fontId="26" fillId="0" borderId="656" xfId="1" applyFont="1" applyFill="1" applyBorder="1" applyAlignment="1" applyProtection="1">
      <alignment horizontal="right"/>
      <protection hidden="1"/>
    </xf>
    <xf numFmtId="166" fontId="26" fillId="0" borderId="656" xfId="1" applyNumberFormat="1" applyFont="1" applyFill="1" applyBorder="1" applyAlignment="1" applyProtection="1">
      <alignment horizontal="center"/>
      <protection hidden="1"/>
    </xf>
    <xf numFmtId="2" fontId="44" fillId="2" borderId="302" xfId="2" applyNumberFormat="1" applyFont="1" applyFill="1" applyBorder="1" applyAlignment="1" applyProtection="1">
      <alignment horizontal="center"/>
      <protection hidden="1"/>
    </xf>
    <xf numFmtId="164" fontId="233" fillId="3" borderId="302" xfId="429" applyNumberFormat="1" applyFont="1" applyFill="1" applyBorder="1" applyAlignment="1" applyProtection="1">
      <alignment horizontal="center"/>
      <protection hidden="1"/>
    </xf>
    <xf numFmtId="164" fontId="234" fillId="2" borderId="302" xfId="2" applyNumberFormat="1" applyFont="1" applyFill="1" applyBorder="1" applyAlignment="1" applyProtection="1">
      <alignment horizontal="center"/>
      <protection hidden="1"/>
    </xf>
    <xf numFmtId="164" fontId="51" fillId="2" borderId="302" xfId="2" applyNumberFormat="1" applyFont="1" applyFill="1" applyBorder="1" applyAlignment="1" applyProtection="1">
      <alignment horizontal="center"/>
      <protection hidden="1"/>
    </xf>
    <xf numFmtId="164" fontId="27" fillId="2" borderId="302" xfId="2" applyNumberFormat="1" applyFont="1" applyFill="1" applyBorder="1" applyAlignment="1" applyProtection="1">
      <alignment horizontal="center"/>
      <protection hidden="1"/>
    </xf>
    <xf numFmtId="2" fontId="27" fillId="0" borderId="302" xfId="429" applyNumberFormat="1" applyFont="1" applyBorder="1" applyAlignment="1" applyProtection="1">
      <alignment horizontal="center"/>
      <protection hidden="1"/>
    </xf>
    <xf numFmtId="0" fontId="102" fillId="3" borderId="751" xfId="2" applyFont="1" applyFill="1" applyBorder="1" applyProtection="1">
      <protection hidden="1"/>
    </xf>
    <xf numFmtId="1" fontId="52" fillId="3" borderId="302" xfId="429" applyNumberFormat="1" applyFont="1" applyFill="1" applyBorder="1" applyAlignment="1" applyProtection="1">
      <alignment horizontal="center"/>
      <protection hidden="1"/>
    </xf>
    <xf numFmtId="1" fontId="102" fillId="3" borderId="302" xfId="429" applyNumberFormat="1" applyFont="1" applyFill="1" applyBorder="1" applyAlignment="1" applyProtection="1">
      <alignment horizontal="center"/>
      <protection hidden="1"/>
    </xf>
    <xf numFmtId="0" fontId="5" fillId="5" borderId="578" xfId="2" applyFont="1" applyFill="1" applyBorder="1" applyAlignment="1" applyProtection="1">
      <alignment horizontal="center"/>
      <protection locked="0"/>
    </xf>
    <xf numFmtId="0" fontId="5" fillId="0" borderId="628" xfId="429" applyFont="1" applyBorder="1" applyAlignment="1" applyProtection="1">
      <alignment horizontal="center"/>
      <protection hidden="1"/>
    </xf>
    <xf numFmtId="164" fontId="52" fillId="3" borderId="302" xfId="429" applyNumberFormat="1" applyFont="1" applyFill="1" applyBorder="1" applyAlignment="1" applyProtection="1">
      <alignment horizontal="center"/>
      <protection hidden="1"/>
    </xf>
    <xf numFmtId="0" fontId="52" fillId="2" borderId="578" xfId="2" applyFont="1" applyFill="1" applyBorder="1" applyProtection="1">
      <protection hidden="1"/>
    </xf>
    <xf numFmtId="164" fontId="52" fillId="3" borderId="578" xfId="2" applyNumberFormat="1" applyFont="1" applyFill="1" applyBorder="1" applyAlignment="1" applyProtection="1">
      <alignment horizontal="center" wrapText="1"/>
      <protection hidden="1"/>
    </xf>
    <xf numFmtId="164" fontId="44" fillId="2" borderId="578" xfId="2" applyNumberFormat="1" applyFont="1" applyFill="1" applyBorder="1" applyAlignment="1" applyProtection="1">
      <alignment horizontal="center" wrapText="1"/>
      <protection hidden="1"/>
    </xf>
    <xf numFmtId="2" fontId="5" fillId="0" borderId="466" xfId="429" applyNumberFormat="1" applyFont="1" applyBorder="1" applyProtection="1">
      <protection hidden="1"/>
    </xf>
    <xf numFmtId="49" fontId="26" fillId="3" borderId="656" xfId="1" applyNumberFormat="1" applyFont="1" applyFill="1" applyBorder="1" applyAlignment="1" applyProtection="1">
      <alignment horizontal="center"/>
      <protection hidden="1"/>
    </xf>
    <xf numFmtId="0" fontId="26" fillId="3" borderId="399" xfId="1" applyFont="1" applyFill="1" applyBorder="1" applyAlignment="1" applyProtection="1">
      <alignment horizontal="center" wrapText="1"/>
      <protection hidden="1"/>
    </xf>
    <xf numFmtId="49" fontId="26" fillId="3" borderId="578" xfId="1" applyNumberFormat="1" applyFont="1" applyFill="1" applyBorder="1" applyAlignment="1" applyProtection="1">
      <alignment horizontal="center"/>
      <protection hidden="1"/>
    </xf>
    <xf numFmtId="0" fontId="26" fillId="3" borderId="752" xfId="1" applyFont="1" applyFill="1" applyBorder="1" applyAlignment="1" applyProtection="1">
      <alignment horizontal="center"/>
      <protection hidden="1"/>
    </xf>
    <xf numFmtId="0" fontId="26" fillId="3" borderId="710" xfId="1" applyFont="1" applyFill="1" applyBorder="1" applyAlignment="1" applyProtection="1">
      <alignment horizontal="center"/>
      <protection hidden="1"/>
    </xf>
    <xf numFmtId="0" fontId="5" fillId="16" borderId="466" xfId="429" applyFont="1" applyFill="1" applyBorder="1" applyAlignment="1" applyProtection="1">
      <alignment horizontal="left"/>
      <protection locked="0"/>
    </xf>
    <xf numFmtId="164" fontId="5" fillId="5" borderId="682" xfId="1" applyNumberFormat="1" applyFont="1" applyFill="1" applyBorder="1" applyAlignment="1" applyProtection="1">
      <alignment horizontal="center" wrapText="1"/>
      <protection locked="0"/>
    </xf>
    <xf numFmtId="164" fontId="5" fillId="5" borderId="741" xfId="1" applyNumberFormat="1" applyFont="1" applyFill="1" applyBorder="1" applyAlignment="1" applyProtection="1">
      <alignment horizontal="center" wrapText="1"/>
      <protection locked="0"/>
    </xf>
    <xf numFmtId="2" fontId="5" fillId="3" borderId="741" xfId="1" applyNumberFormat="1" applyFont="1" applyFill="1" applyBorder="1" applyAlignment="1" applyProtection="1">
      <alignment horizontal="center" wrapText="1"/>
      <protection hidden="1"/>
    </xf>
    <xf numFmtId="49" fontId="5" fillId="5" borderId="743" xfId="1" applyNumberFormat="1" applyFont="1" applyFill="1" applyBorder="1" applyAlignment="1" applyProtection="1">
      <alignment horizontal="left"/>
      <protection locked="0"/>
    </xf>
    <xf numFmtId="164" fontId="5" fillId="6" borderId="682" xfId="1" applyNumberFormat="1" applyFont="1" applyFill="1" applyBorder="1" applyAlignment="1" applyProtection="1">
      <alignment horizontal="center" wrapText="1"/>
      <protection locked="0"/>
    </xf>
    <xf numFmtId="164" fontId="5" fillId="13" borderId="741" xfId="429" applyNumberFormat="1" applyFont="1" applyFill="1" applyBorder="1" applyAlignment="1" applyProtection="1">
      <alignment horizontal="center"/>
      <protection locked="0"/>
    </xf>
    <xf numFmtId="2" fontId="5" fillId="3" borderId="628" xfId="1" applyNumberFormat="1" applyFont="1" applyFill="1" applyBorder="1" applyAlignment="1" applyProtection="1">
      <alignment horizontal="center" wrapText="1"/>
      <protection hidden="1"/>
    </xf>
    <xf numFmtId="164" fontId="51" fillId="5" borderId="682" xfId="1" applyNumberFormat="1" applyFont="1" applyFill="1" applyBorder="1" applyAlignment="1" applyProtection="1">
      <alignment horizontal="center" wrapText="1"/>
      <protection locked="0"/>
    </xf>
    <xf numFmtId="164" fontId="51" fillId="5" borderId="741" xfId="1" applyNumberFormat="1" applyFont="1" applyFill="1" applyBorder="1" applyAlignment="1" applyProtection="1">
      <alignment horizontal="center" wrapText="1"/>
      <protection locked="0"/>
    </xf>
    <xf numFmtId="2" fontId="51" fillId="3" borderId="741" xfId="1" applyNumberFormat="1" applyFont="1" applyFill="1" applyBorder="1" applyAlignment="1" applyProtection="1">
      <alignment horizontal="center" wrapText="1"/>
      <protection hidden="1"/>
    </xf>
    <xf numFmtId="0" fontId="5" fillId="13" borderId="466" xfId="429" applyFont="1" applyFill="1" applyBorder="1" applyProtection="1">
      <protection locked="0"/>
    </xf>
    <xf numFmtId="2" fontId="5" fillId="3" borderId="734" xfId="429" applyNumberFormat="1" applyFont="1" applyFill="1" applyBorder="1" applyAlignment="1" applyProtection="1">
      <protection hidden="1"/>
    </xf>
    <xf numFmtId="0" fontId="5" fillId="3" borderId="302" xfId="3" applyFont="1" applyFill="1" applyBorder="1" applyAlignment="1" applyProtection="1">
      <alignment vertical="center" wrapText="1"/>
      <protection hidden="1"/>
    </xf>
    <xf numFmtId="0" fontId="44" fillId="4" borderId="640" xfId="429" applyFont="1" applyFill="1" applyBorder="1" applyAlignment="1" applyProtection="1">
      <alignment horizontal="right"/>
      <protection hidden="1"/>
    </xf>
    <xf numFmtId="0" fontId="51" fillId="5" borderId="171" xfId="2" applyFont="1" applyFill="1" applyBorder="1" applyAlignment="1" applyProtection="1">
      <alignment horizontal="center"/>
      <protection locked="0"/>
    </xf>
    <xf numFmtId="0" fontId="51" fillId="5" borderId="362" xfId="2" applyFont="1" applyFill="1" applyBorder="1" applyAlignment="1" applyProtection="1">
      <alignment horizontal="center"/>
      <protection locked="0"/>
    </xf>
    <xf numFmtId="0" fontId="51" fillId="5" borderId="745" xfId="2" applyFont="1" applyFill="1" applyBorder="1" applyAlignment="1" applyProtection="1">
      <alignment horizontal="center"/>
      <protection locked="0"/>
    </xf>
    <xf numFmtId="0" fontId="1" fillId="4" borderId="641" xfId="2" applyFont="1" applyFill="1" applyBorder="1" applyProtection="1">
      <protection hidden="1"/>
    </xf>
    <xf numFmtId="164" fontId="44" fillId="2" borderId="578" xfId="2" applyNumberFormat="1" applyFont="1" applyFill="1" applyBorder="1" applyAlignment="1" applyProtection="1">
      <alignment horizontal="center"/>
      <protection hidden="1"/>
    </xf>
    <xf numFmtId="164" fontId="44" fillId="2" borderId="516" xfId="2" applyNumberFormat="1" applyFont="1" applyFill="1" applyBorder="1" applyAlignment="1" applyProtection="1">
      <alignment horizontal="center"/>
      <protection hidden="1"/>
    </xf>
    <xf numFmtId="164" fontId="44" fillId="2" borderId="749" xfId="2" applyNumberFormat="1" applyFont="1" applyFill="1" applyBorder="1" applyAlignment="1" applyProtection="1">
      <alignment horizontal="center"/>
      <protection hidden="1"/>
    </xf>
    <xf numFmtId="0" fontId="26" fillId="5" borderId="171" xfId="2" applyFont="1" applyFill="1" applyBorder="1" applyAlignment="1" applyProtection="1">
      <alignment horizontal="center"/>
      <protection locked="0"/>
    </xf>
    <xf numFmtId="0" fontId="26" fillId="5" borderId="362" xfId="2" applyFont="1" applyFill="1" applyBorder="1" applyAlignment="1" applyProtection="1">
      <alignment horizontal="center"/>
      <protection locked="0"/>
    </xf>
    <xf numFmtId="0" fontId="26" fillId="5" borderId="745" xfId="2" applyFont="1" applyFill="1" applyBorder="1" applyAlignment="1" applyProtection="1">
      <alignment horizontal="center"/>
      <protection locked="0"/>
    </xf>
    <xf numFmtId="0" fontId="51" fillId="4" borderId="578" xfId="429" applyFont="1" applyFill="1" applyBorder="1" applyAlignment="1" applyProtection="1">
      <alignment horizontal="right"/>
      <protection hidden="1"/>
    </xf>
    <xf numFmtId="0" fontId="51" fillId="4" borderId="128" xfId="429" applyFont="1" applyFill="1" applyBorder="1" applyAlignment="1" applyProtection="1">
      <alignment horizontal="right"/>
      <protection hidden="1"/>
    </xf>
    <xf numFmtId="0" fontId="337" fillId="0" borderId="137" xfId="3" applyFont="1" applyBorder="1" applyAlignment="1" applyProtection="1">
      <alignment horizontal="left"/>
      <protection hidden="1"/>
    </xf>
    <xf numFmtId="0" fontId="64" fillId="4" borderId="640" xfId="429" applyFont="1" applyFill="1" applyBorder="1" applyProtection="1">
      <protection hidden="1"/>
    </xf>
    <xf numFmtId="0" fontId="27" fillId="5" borderId="171" xfId="2" applyFont="1" applyFill="1" applyBorder="1" applyAlignment="1" applyProtection="1">
      <alignment horizontal="center"/>
      <protection locked="0"/>
    </xf>
    <xf numFmtId="0" fontId="27" fillId="5" borderId="362" xfId="2" applyFont="1" applyFill="1" applyBorder="1" applyAlignment="1" applyProtection="1">
      <alignment horizontal="center"/>
      <protection locked="0"/>
    </xf>
    <xf numFmtId="0" fontId="27" fillId="5" borderId="745" xfId="2" applyFont="1" applyFill="1" applyBorder="1" applyAlignment="1" applyProtection="1">
      <alignment horizontal="center"/>
      <protection locked="0"/>
    </xf>
    <xf numFmtId="0" fontId="44" fillId="4" borderId="656" xfId="429" applyFont="1" applyFill="1" applyBorder="1" applyProtection="1">
      <protection hidden="1"/>
    </xf>
    <xf numFmtId="0" fontId="335" fillId="2" borderId="656" xfId="2" applyFont="1" applyFill="1" applyBorder="1" applyProtection="1">
      <protection hidden="1"/>
    </xf>
    <xf numFmtId="0" fontId="336" fillId="5" borderId="656" xfId="2" applyFont="1" applyFill="1" applyBorder="1" applyAlignment="1" applyProtection="1">
      <alignment horizontal="center"/>
      <protection locked="0"/>
    </xf>
    <xf numFmtId="0" fontId="336" fillId="5" borderId="595" xfId="2" applyFont="1" applyFill="1" applyBorder="1" applyAlignment="1" applyProtection="1">
      <alignment horizontal="center"/>
      <protection locked="0"/>
    </xf>
    <xf numFmtId="0" fontId="336" fillId="5" borderId="750" xfId="2" applyFont="1" applyFill="1" applyBorder="1" applyAlignment="1" applyProtection="1">
      <alignment horizontal="center"/>
      <protection locked="0"/>
    </xf>
    <xf numFmtId="0" fontId="231" fillId="60" borderId="640" xfId="2" applyFont="1" applyFill="1" applyBorder="1" applyAlignment="1" applyProtection="1">
      <alignment horizontal="right"/>
      <protection hidden="1"/>
    </xf>
    <xf numFmtId="0" fontId="5" fillId="3" borderId="0" xfId="2" applyFont="1" applyFill="1" applyAlignment="1" applyProtection="1">
      <alignment horizontal="left"/>
      <protection hidden="1"/>
    </xf>
    <xf numFmtId="0" fontId="217" fillId="3" borderId="0" xfId="2" applyFont="1" applyFill="1" applyAlignment="1" applyProtection="1">
      <protection hidden="1"/>
    </xf>
    <xf numFmtId="2" fontId="5" fillId="3" borderId="628" xfId="2" applyNumberFormat="1" applyFill="1" applyBorder="1" applyAlignment="1" applyProtection="1">
      <alignment horizontal="center"/>
      <protection hidden="1"/>
    </xf>
    <xf numFmtId="0" fontId="13" fillId="3" borderId="0" xfId="3" applyFont="1" applyFill="1" applyAlignment="1" applyProtection="1">
      <alignment horizontal="right"/>
      <protection hidden="1"/>
    </xf>
    <xf numFmtId="0" fontId="34" fillId="59" borderId="0" xfId="429" applyFont="1" applyFill="1" applyAlignment="1" applyProtection="1">
      <alignment horizontal="right"/>
      <protection hidden="1"/>
    </xf>
    <xf numFmtId="0" fontId="5" fillId="0" borderId="0" xfId="2" applyAlignment="1" applyProtection="1">
      <alignment horizontal="center"/>
      <protection hidden="1"/>
    </xf>
    <xf numFmtId="0" fontId="2" fillId="3" borderId="0" xfId="413" applyFont="1" applyFill="1" applyAlignment="1" applyProtection="1">
      <alignment horizontal="right"/>
      <protection hidden="1"/>
    </xf>
    <xf numFmtId="0" fontId="45" fillId="4" borderId="0" xfId="3" applyFont="1" applyFill="1" applyProtection="1">
      <alignment vertical="top"/>
      <protection hidden="1"/>
    </xf>
    <xf numFmtId="0" fontId="47" fillId="2" borderId="0" xfId="413" applyFont="1" applyFill="1" applyAlignment="1" applyProtection="1">
      <alignment horizontal="left"/>
      <protection hidden="1"/>
    </xf>
    <xf numFmtId="0" fontId="120" fillId="2" borderId="0" xfId="2" applyFont="1" applyFill="1" applyAlignment="1" applyProtection="1">
      <alignment horizontal="left"/>
      <protection hidden="1"/>
    </xf>
    <xf numFmtId="2" fontId="47" fillId="2" borderId="0" xfId="413" applyNumberFormat="1" applyFont="1" applyFill="1" applyAlignment="1" applyProtection="1">
      <alignment horizontal="left"/>
      <protection hidden="1"/>
    </xf>
    <xf numFmtId="0" fontId="15" fillId="0" borderId="0" xfId="3" applyFont="1" applyProtection="1">
      <alignment vertical="top"/>
      <protection hidden="1"/>
    </xf>
    <xf numFmtId="0" fontId="5" fillId="0" borderId="0" xfId="2" applyAlignment="1" applyProtection="1">
      <alignment horizontal="right"/>
      <protection hidden="1"/>
    </xf>
    <xf numFmtId="0" fontId="13" fillId="3" borderId="0" xfId="3" applyFont="1" applyFill="1" applyAlignment="1" applyProtection="1">
      <protection hidden="1"/>
    </xf>
    <xf numFmtId="0" fontId="39" fillId="2" borderId="302" xfId="429" applyFont="1" applyFill="1" applyBorder="1" applyAlignment="1" applyProtection="1">
      <alignment horizontal="center"/>
      <protection hidden="1"/>
    </xf>
    <xf numFmtId="164" fontId="39" fillId="2" borderId="0" xfId="429" applyNumberFormat="1" applyFont="1" applyFill="1" applyBorder="1" applyAlignment="1" applyProtection="1">
      <alignment horizontal="center"/>
      <protection hidden="1"/>
    </xf>
    <xf numFmtId="0" fontId="9" fillId="3" borderId="0" xfId="413" applyFont="1" applyFill="1" applyAlignment="1" applyProtection="1">
      <protection hidden="1"/>
    </xf>
    <xf numFmtId="0" fontId="247" fillId="3" borderId="0" xfId="413" applyFont="1" applyFill="1" applyAlignment="1" applyProtection="1">
      <alignment horizontal="left" vertical="center"/>
      <protection hidden="1"/>
    </xf>
    <xf numFmtId="2" fontId="21" fillId="3" borderId="0" xfId="414" applyNumberFormat="1" applyFont="1" applyFill="1" applyProtection="1">
      <protection locked="0"/>
    </xf>
    <xf numFmtId="164" fontId="44" fillId="2" borderId="128" xfId="2" applyNumberFormat="1" applyFont="1" applyFill="1" applyBorder="1" applyAlignment="1" applyProtection="1">
      <alignment horizontal="center"/>
      <protection hidden="1"/>
    </xf>
    <xf numFmtId="164" fontId="44" fillId="2" borderId="24" xfId="2" applyNumberFormat="1" applyFont="1" applyFill="1" applyBorder="1" applyAlignment="1" applyProtection="1">
      <alignment horizontal="center"/>
      <protection hidden="1"/>
    </xf>
    <xf numFmtId="164" fontId="44" fillId="2" borderId="754" xfId="2" applyNumberFormat="1" applyFont="1" applyFill="1" applyBorder="1" applyAlignment="1" applyProtection="1">
      <alignment horizontal="center"/>
      <protection hidden="1"/>
    </xf>
    <xf numFmtId="0" fontId="51" fillId="5" borderId="172" xfId="2" applyFont="1" applyFill="1" applyBorder="1" applyAlignment="1" applyProtection="1">
      <alignment horizontal="center"/>
      <protection locked="0"/>
    </xf>
    <xf numFmtId="0" fontId="51" fillId="5" borderId="383" xfId="2" applyFont="1" applyFill="1" applyBorder="1" applyAlignment="1" applyProtection="1">
      <alignment horizontal="center"/>
      <protection locked="0"/>
    </xf>
    <xf numFmtId="0" fontId="51" fillId="5" borderId="744" xfId="2" applyFont="1" applyFill="1" applyBorder="1" applyAlignment="1" applyProtection="1">
      <alignment horizontal="center"/>
      <protection locked="0"/>
    </xf>
    <xf numFmtId="0" fontId="51" fillId="5" borderId="640" xfId="2" applyFont="1" applyFill="1" applyBorder="1" applyAlignment="1" applyProtection="1">
      <alignment horizontal="center"/>
      <protection locked="0"/>
    </xf>
    <xf numFmtId="0" fontId="51" fillId="5" borderId="302" xfId="2" applyFont="1" applyFill="1" applyBorder="1" applyAlignment="1" applyProtection="1">
      <alignment horizontal="center"/>
      <protection locked="0"/>
    </xf>
    <xf numFmtId="0" fontId="51" fillId="5" borderId="746" xfId="2" applyFont="1" applyFill="1" applyBorder="1" applyAlignment="1" applyProtection="1">
      <alignment horizontal="center"/>
      <protection locked="0"/>
    </xf>
    <xf numFmtId="0" fontId="51" fillId="6" borderId="137" xfId="1" applyFont="1" applyFill="1" applyBorder="1" applyAlignment="1" applyProtection="1">
      <alignment horizontal="center"/>
      <protection locked="0"/>
    </xf>
    <xf numFmtId="0" fontId="51" fillId="6" borderId="678" xfId="1" applyFont="1" applyFill="1" applyBorder="1" applyAlignment="1" applyProtection="1">
      <alignment horizontal="center"/>
      <protection locked="0"/>
    </xf>
    <xf numFmtId="0" fontId="51" fillId="6" borderId="747" xfId="1" applyFont="1" applyFill="1" applyBorder="1" applyAlignment="1" applyProtection="1">
      <alignment horizontal="center"/>
      <protection locked="0"/>
    </xf>
    <xf numFmtId="164" fontId="51" fillId="6" borderId="656" xfId="2" applyNumberFormat="1" applyFont="1" applyFill="1" applyBorder="1" applyAlignment="1" applyProtection="1">
      <alignment horizontal="center"/>
      <protection locked="0"/>
    </xf>
    <xf numFmtId="164" fontId="51" fillId="5" borderId="595" xfId="2" applyNumberFormat="1" applyFont="1" applyFill="1" applyBorder="1" applyAlignment="1" applyProtection="1">
      <alignment horizontal="center"/>
      <protection locked="0"/>
    </xf>
    <xf numFmtId="164" fontId="51" fillId="6" borderId="750" xfId="2" applyNumberFormat="1" applyFont="1" applyFill="1" applyBorder="1" applyAlignment="1" applyProtection="1">
      <alignment horizontal="center"/>
      <protection locked="0"/>
    </xf>
    <xf numFmtId="0" fontId="2" fillId="3" borderId="0" xfId="2" applyFont="1" applyFill="1" applyAlignment="1" applyProtection="1">
      <protection hidden="1"/>
    </xf>
    <xf numFmtId="0" fontId="5" fillId="4" borderId="0" xfId="2" applyFill="1" applyAlignment="1" applyProtection="1">
      <alignment horizontal="left" wrapText="1"/>
      <protection hidden="1"/>
    </xf>
    <xf numFmtId="1" fontId="103" fillId="0" borderId="0" xfId="198" applyNumberFormat="1" applyFont="1" applyBorder="1" applyProtection="1">
      <protection hidden="1"/>
    </xf>
    <xf numFmtId="1" fontId="103" fillId="0" borderId="0" xfId="2" applyNumberFormat="1" applyFont="1" applyBorder="1" applyProtection="1">
      <protection hidden="1"/>
    </xf>
    <xf numFmtId="0" fontId="78" fillId="0" borderId="0" xfId="2" applyFont="1" applyBorder="1" applyProtection="1">
      <protection hidden="1"/>
    </xf>
    <xf numFmtId="1" fontId="139" fillId="0" borderId="0" xfId="2" applyNumberFormat="1" applyFont="1" applyBorder="1" applyProtection="1">
      <protection hidden="1"/>
    </xf>
    <xf numFmtId="0" fontId="114" fillId="0" borderId="0" xfId="2" applyFont="1" applyBorder="1" applyProtection="1">
      <protection hidden="1"/>
    </xf>
    <xf numFmtId="1" fontId="103" fillId="0" borderId="21" xfId="198" applyNumberFormat="1" applyFont="1" applyBorder="1" applyProtection="1">
      <protection hidden="1"/>
    </xf>
    <xf numFmtId="0" fontId="241" fillId="3" borderId="0" xfId="413" applyFont="1" applyFill="1" applyAlignment="1" applyProtection="1">
      <alignment horizontal="left"/>
    </xf>
    <xf numFmtId="0" fontId="90" fillId="2" borderId="0" xfId="413" applyFont="1" applyFill="1" applyAlignment="1" applyProtection="1">
      <alignment horizontal="left"/>
    </xf>
    <xf numFmtId="0" fontId="241" fillId="63" borderId="0" xfId="413" applyFont="1" applyFill="1" applyAlignment="1" applyProtection="1">
      <alignment horizontal="left"/>
    </xf>
    <xf numFmtId="0" fontId="105" fillId="63" borderId="0" xfId="413" applyFont="1" applyFill="1" applyAlignment="1" applyProtection="1">
      <alignment horizontal="left"/>
    </xf>
    <xf numFmtId="0" fontId="105" fillId="2" borderId="0" xfId="413" applyFont="1" applyFill="1" applyAlignment="1" applyProtection="1">
      <alignment horizontal="left"/>
    </xf>
    <xf numFmtId="0" fontId="47" fillId="2" borderId="0" xfId="413" applyFont="1" applyFill="1" applyAlignment="1" applyProtection="1">
      <alignment horizontal="left"/>
    </xf>
    <xf numFmtId="0" fontId="5" fillId="2" borderId="0" xfId="413" applyFont="1" applyFill="1" applyAlignment="1" applyProtection="1">
      <alignment horizontal="left"/>
    </xf>
    <xf numFmtId="0" fontId="241" fillId="2" borderId="0" xfId="413" applyFont="1" applyFill="1" applyAlignment="1" applyProtection="1">
      <alignment horizontal="left"/>
    </xf>
    <xf numFmtId="0" fontId="120" fillId="2" borderId="0" xfId="413" applyFont="1" applyFill="1" applyAlignment="1" applyProtection="1">
      <alignment horizontal="left"/>
    </xf>
    <xf numFmtId="0" fontId="245" fillId="2" borderId="0" xfId="3" applyFont="1" applyFill="1" applyAlignment="1" applyProtection="1">
      <alignment horizontal="left"/>
    </xf>
    <xf numFmtId="0" fontId="244" fillId="3" borderId="0" xfId="413" applyFont="1" applyFill="1" applyAlignment="1" applyProtection="1">
      <alignment horizontal="left" textRotation="90"/>
    </xf>
    <xf numFmtId="2" fontId="120" fillId="2" borderId="0" xfId="413" applyNumberFormat="1" applyFont="1" applyFill="1" applyAlignment="1" applyProtection="1">
      <alignment horizontal="left"/>
    </xf>
    <xf numFmtId="0" fontId="243" fillId="4" borderId="0" xfId="3" applyFont="1" applyFill="1" applyAlignment="1" applyProtection="1">
      <alignment horizontal="left"/>
    </xf>
    <xf numFmtId="0" fontId="246" fillId="3" borderId="0" xfId="413" applyFont="1" applyFill="1" applyProtection="1"/>
    <xf numFmtId="0" fontId="246" fillId="14" borderId="0" xfId="2" applyFont="1" applyFill="1" applyAlignment="1" applyProtection="1">
      <alignment horizontal="left" vertical="top"/>
    </xf>
    <xf numFmtId="0" fontId="305" fillId="64" borderId="0" xfId="2" applyNumberFormat="1" applyFont="1" applyFill="1" applyBorder="1" applyAlignment="1" applyProtection="1">
      <alignment horizontal="right"/>
    </xf>
    <xf numFmtId="0" fontId="306" fillId="64" borderId="0" xfId="2190" applyNumberFormat="1" applyFont="1" applyFill="1" applyBorder="1" applyAlignment="1" applyProtection="1">
      <alignment horizontal="left"/>
    </xf>
    <xf numFmtId="0" fontId="307" fillId="64" borderId="0" xfId="0" applyNumberFormat="1" applyFont="1" applyFill="1" applyBorder="1" applyAlignment="1" applyProtection="1">
      <alignment horizontal="right"/>
    </xf>
    <xf numFmtId="0" fontId="306" fillId="64" borderId="0" xfId="2186" applyNumberFormat="1" applyFont="1" applyFill="1" applyBorder="1" applyAlignment="1" applyProtection="1"/>
    <xf numFmtId="2" fontId="306" fillId="64" borderId="0" xfId="2190" applyNumberFormat="1" applyFont="1" applyFill="1" applyBorder="1" applyAlignment="1" applyProtection="1">
      <alignment horizontal="left"/>
    </xf>
    <xf numFmtId="0" fontId="5" fillId="3" borderId="0" xfId="2" applyFill="1" applyAlignment="1" applyProtection="1">
      <alignment vertical="center"/>
      <protection hidden="1"/>
    </xf>
    <xf numFmtId="0" fontId="8" fillId="3" borderId="0" xfId="2" applyFont="1" applyFill="1" applyAlignment="1" applyProtection="1">
      <alignment vertical="center"/>
      <protection hidden="1"/>
    </xf>
    <xf numFmtId="0" fontId="5" fillId="5" borderId="402" xfId="2" applyFont="1" applyFill="1" applyBorder="1" applyAlignment="1" applyProtection="1">
      <alignment horizontal="center" vertical="center" wrapText="1"/>
      <protection locked="0"/>
    </xf>
    <xf numFmtId="2" fontId="120" fillId="2" borderId="0" xfId="413" applyNumberFormat="1" applyFont="1" applyFill="1" applyAlignment="1" applyProtection="1">
      <alignment horizontal="left"/>
      <protection hidden="1"/>
    </xf>
    <xf numFmtId="0" fontId="5" fillId="3" borderId="0" xfId="2" applyFont="1" applyFill="1" applyAlignment="1" applyProtection="1">
      <protection hidden="1"/>
    </xf>
    <xf numFmtId="0" fontId="5" fillId="0" borderId="0" xfId="2" applyAlignment="1" applyProtection="1">
      <protection hidden="1"/>
    </xf>
    <xf numFmtId="0" fontId="241" fillId="3" borderId="0" xfId="1" applyFont="1" applyFill="1" applyAlignment="1" applyProtection="1">
      <alignment horizontal="center" vertical="top"/>
      <protection hidden="1"/>
    </xf>
    <xf numFmtId="0" fontId="54" fillId="10" borderId="85" xfId="1" applyFont="1" applyFill="1" applyBorder="1" applyAlignment="1" applyProtection="1">
      <alignment horizontal="center" wrapText="1"/>
      <protection hidden="1"/>
    </xf>
    <xf numFmtId="0" fontId="314" fillId="10" borderId="85" xfId="1" applyFont="1" applyFill="1" applyBorder="1" applyAlignment="1" applyProtection="1">
      <alignment horizontal="center" wrapText="1"/>
      <protection hidden="1"/>
    </xf>
    <xf numFmtId="2" fontId="121" fillId="2" borderId="0" xfId="413" applyNumberFormat="1" applyFont="1" applyFill="1" applyAlignment="1" applyProtection="1">
      <alignment horizontal="left"/>
      <protection hidden="1"/>
    </xf>
    <xf numFmtId="2" fontId="105" fillId="2" borderId="0" xfId="413" applyNumberFormat="1" applyFont="1" applyFill="1" applyAlignment="1" applyProtection="1">
      <alignment horizontal="left"/>
      <protection hidden="1"/>
    </xf>
    <xf numFmtId="2" fontId="241" fillId="3" borderId="0" xfId="413" applyNumberFormat="1" applyFont="1" applyFill="1" applyAlignment="1" applyProtection="1">
      <alignment horizontal="left"/>
      <protection hidden="1"/>
    </xf>
    <xf numFmtId="0" fontId="90" fillId="2" borderId="0" xfId="413" applyFont="1" applyFill="1" applyAlignment="1" applyProtection="1">
      <alignment horizontal="left"/>
      <protection hidden="1"/>
    </xf>
    <xf numFmtId="2" fontId="105" fillId="3" borderId="0" xfId="413" applyNumberFormat="1" applyFont="1" applyFill="1" applyAlignment="1" applyProtection="1">
      <alignment horizontal="left"/>
      <protection hidden="1"/>
    </xf>
    <xf numFmtId="0" fontId="10" fillId="4" borderId="342" xfId="2" applyFont="1" applyFill="1" applyBorder="1" applyAlignment="1" applyProtection="1">
      <alignment vertical="top" wrapText="1"/>
      <protection hidden="1"/>
    </xf>
    <xf numFmtId="0" fontId="1" fillId="3" borderId="342" xfId="1" applyFill="1" applyBorder="1" applyAlignment="1" applyProtection="1">
      <alignment vertical="top" wrapText="1"/>
      <protection hidden="1"/>
    </xf>
    <xf numFmtId="0" fontId="220" fillId="10" borderId="0" xfId="2" applyFont="1" applyFill="1" applyBorder="1" applyAlignment="1" applyProtection="1">
      <alignment horizontal="left"/>
      <protection hidden="1"/>
    </xf>
    <xf numFmtId="173" fontId="220" fillId="10" borderId="0" xfId="2" applyNumberFormat="1" applyFont="1" applyFill="1" applyBorder="1" applyAlignment="1" applyProtection="1">
      <alignment horizontal="center"/>
      <protection hidden="1"/>
    </xf>
    <xf numFmtId="0" fontId="66" fillId="3" borderId="0" xfId="1" applyFont="1" applyFill="1" applyBorder="1" applyAlignment="1" applyProtection="1">
      <protection hidden="1"/>
    </xf>
    <xf numFmtId="0" fontId="1" fillId="3" borderId="0" xfId="1" applyFill="1" applyAlignment="1" applyProtection="1">
      <protection hidden="1"/>
    </xf>
    <xf numFmtId="0" fontId="5" fillId="10" borderId="0" xfId="2" applyFill="1" applyAlignment="1" applyProtection="1">
      <protection hidden="1"/>
    </xf>
    <xf numFmtId="0" fontId="339" fillId="6" borderId="193" xfId="2" applyFont="1" applyFill="1" applyBorder="1" applyAlignment="1" applyProtection="1">
      <alignment horizontal="center"/>
      <protection locked="0"/>
    </xf>
    <xf numFmtId="1" fontId="340" fillId="46" borderId="16" xfId="6" applyNumberFormat="1" applyFont="1" applyFill="1" applyBorder="1" applyAlignment="1" applyProtection="1">
      <alignment horizontal="center"/>
      <protection hidden="1"/>
    </xf>
    <xf numFmtId="1" fontId="340" fillId="46" borderId="578" xfId="6" applyNumberFormat="1" applyFont="1" applyFill="1" applyBorder="1" applyAlignment="1" applyProtection="1">
      <alignment horizontal="center"/>
      <protection hidden="1"/>
    </xf>
    <xf numFmtId="1" fontId="340" fillId="46" borderId="469" xfId="6" applyNumberFormat="1" applyFont="1" applyFill="1" applyBorder="1" applyAlignment="1" applyProtection="1">
      <alignment horizontal="center"/>
      <protection hidden="1"/>
    </xf>
    <xf numFmtId="0" fontId="341" fillId="87" borderId="246" xfId="6" applyNumberFormat="1" applyFont="1" applyFill="1" applyBorder="1" applyAlignment="1" applyProtection="1">
      <alignment horizontal="center" wrapText="1"/>
      <protection locked="0"/>
    </xf>
    <xf numFmtId="1" fontId="299" fillId="46" borderId="469" xfId="6" applyNumberFormat="1" applyFont="1" applyFill="1" applyBorder="1" applyAlignment="1" applyProtection="1">
      <alignment horizontal="center"/>
      <protection hidden="1"/>
    </xf>
    <xf numFmtId="1" fontId="23" fillId="46" borderId="193" xfId="6" applyNumberFormat="1" applyFont="1" applyFill="1" applyBorder="1" applyAlignment="1" applyProtection="1">
      <alignment horizontal="center"/>
      <protection hidden="1"/>
    </xf>
    <xf numFmtId="0" fontId="5" fillId="5" borderId="763" xfId="2" applyFill="1" applyBorder="1" applyAlignment="1" applyProtection="1">
      <alignment horizontal="center"/>
      <protection locked="0"/>
    </xf>
    <xf numFmtId="164" fontId="5" fillId="3" borderId="762" xfId="2" applyNumberFormat="1" applyFill="1" applyBorder="1" applyAlignment="1" applyProtection="1">
      <alignment horizontal="center"/>
      <protection hidden="1"/>
    </xf>
    <xf numFmtId="0" fontId="5" fillId="5" borderId="264" xfId="2" applyFill="1" applyBorder="1" applyAlignment="1" applyProtection="1">
      <alignment horizontal="center"/>
      <protection locked="0"/>
    </xf>
    <xf numFmtId="164" fontId="5" fillId="3" borderId="58" xfId="2" applyNumberFormat="1" applyFill="1" applyBorder="1" applyAlignment="1" applyProtection="1">
      <alignment horizontal="center"/>
      <protection hidden="1"/>
    </xf>
    <xf numFmtId="0" fontId="5" fillId="5" borderId="264" xfId="413" applyFont="1" applyFill="1" applyBorder="1" applyAlignment="1" applyProtection="1">
      <alignment horizontal="center" wrapText="1"/>
      <protection locked="0"/>
    </xf>
    <xf numFmtId="0" fontId="5" fillId="5" borderId="264" xfId="413" applyFont="1" applyFill="1" applyBorder="1" applyAlignment="1" applyProtection="1">
      <alignment horizontal="center"/>
      <protection locked="0"/>
    </xf>
    <xf numFmtId="0" fontId="5" fillId="5" borderId="258" xfId="413" applyFont="1" applyFill="1" applyBorder="1" applyAlignment="1" applyProtection="1">
      <alignment horizontal="center"/>
      <protection locked="0"/>
    </xf>
    <xf numFmtId="164" fontId="5" fillId="3" borderId="680" xfId="2" applyNumberFormat="1" applyFill="1" applyBorder="1" applyAlignment="1" applyProtection="1">
      <alignment horizontal="center"/>
      <protection hidden="1"/>
    </xf>
    <xf numFmtId="49" fontId="5" fillId="46" borderId="764" xfId="413" applyNumberFormat="1" applyFont="1" applyFill="1" applyBorder="1" applyAlignment="1" applyProtection="1">
      <alignment horizontal="center"/>
      <protection hidden="1"/>
    </xf>
    <xf numFmtId="49" fontId="5" fillId="46" borderId="227" xfId="413" applyNumberFormat="1" applyFont="1" applyFill="1" applyBorder="1" applyAlignment="1" applyProtection="1">
      <alignment horizontal="center"/>
      <protection hidden="1"/>
    </xf>
    <xf numFmtId="49" fontId="5" fillId="46" borderId="41" xfId="413" applyNumberFormat="1" applyFont="1" applyFill="1" applyBorder="1" applyAlignment="1" applyProtection="1">
      <alignment horizontal="center"/>
      <protection hidden="1"/>
    </xf>
    <xf numFmtId="0" fontId="5" fillId="3" borderId="0" xfId="2" applyFill="1" applyBorder="1" applyAlignment="1" applyProtection="1">
      <alignment horizontal="right"/>
      <protection hidden="1"/>
    </xf>
    <xf numFmtId="0" fontId="44" fillId="64" borderId="765" xfId="2191" applyNumberFormat="1" applyFont="1" applyFill="1" applyBorder="1" applyAlignment="1" applyProtection="1">
      <alignment horizontal="center"/>
      <protection hidden="1"/>
    </xf>
    <xf numFmtId="0" fontId="44" fillId="64" borderId="741" xfId="2191" applyNumberFormat="1" applyFont="1" applyFill="1" applyBorder="1" applyAlignment="1" applyProtection="1">
      <alignment horizontal="center"/>
      <protection hidden="1"/>
    </xf>
    <xf numFmtId="0" fontId="5" fillId="5" borderId="765" xfId="2" applyFill="1" applyBorder="1" applyAlignment="1" applyProtection="1">
      <alignment horizontal="center"/>
      <protection locked="0"/>
    </xf>
    <xf numFmtId="0" fontId="5" fillId="5" borderId="628" xfId="2" applyFill="1" applyBorder="1" applyAlignment="1" applyProtection="1">
      <alignment horizontal="center"/>
      <protection locked="0"/>
    </xf>
    <xf numFmtId="0" fontId="5" fillId="13" borderId="429" xfId="2" applyFill="1" applyBorder="1" applyAlignment="1" applyProtection="1">
      <alignment horizontal="center"/>
      <protection locked="0"/>
    </xf>
    <xf numFmtId="1" fontId="103" fillId="0" borderId="301" xfId="198" applyNumberFormat="1" applyFont="1" applyBorder="1" applyProtection="1">
      <protection hidden="1"/>
    </xf>
    <xf numFmtId="0" fontId="5" fillId="0" borderId="0" xfId="198" applyFont="1" applyFill="1" applyBorder="1" applyProtection="1">
      <protection locked="0"/>
    </xf>
    <xf numFmtId="1" fontId="5" fillId="0" borderId="0" xfId="198" applyNumberFormat="1" applyFont="1" applyFill="1" applyBorder="1" applyProtection="1">
      <protection locked="0"/>
    </xf>
    <xf numFmtId="1" fontId="103" fillId="0" borderId="301" xfId="198" applyNumberFormat="1" applyFont="1" applyFill="1" applyBorder="1" applyProtection="1">
      <protection hidden="1"/>
    </xf>
    <xf numFmtId="0" fontId="5" fillId="0" borderId="0" xfId="1" applyFont="1" applyFill="1" applyBorder="1" applyAlignment="1" applyProtection="1">
      <alignment horizontal="left"/>
    </xf>
    <xf numFmtId="1" fontId="5" fillId="0" borderId="0" xfId="198" applyNumberFormat="1" applyFont="1" applyFill="1" applyBorder="1" applyProtection="1"/>
    <xf numFmtId="0" fontId="5" fillId="0" borderId="0" xfId="198" applyFont="1" applyFill="1" applyBorder="1" applyProtection="1"/>
    <xf numFmtId="0" fontId="47" fillId="0" borderId="495" xfId="198" applyFont="1" applyFill="1" applyBorder="1" applyProtection="1">
      <protection hidden="1"/>
    </xf>
    <xf numFmtId="0" fontId="5" fillId="18" borderId="595" xfId="2" applyFill="1" applyBorder="1" applyProtection="1">
      <protection locked="0"/>
    </xf>
    <xf numFmtId="0" fontId="5" fillId="18" borderId="715" xfId="2" applyFill="1" applyBorder="1" applyAlignment="1" applyProtection="1">
      <alignment horizontal="left"/>
      <protection locked="0"/>
    </xf>
    <xf numFmtId="0" fontId="5" fillId="16" borderId="716" xfId="2" applyFill="1" applyBorder="1" applyProtection="1">
      <protection locked="0"/>
    </xf>
    <xf numFmtId="0" fontId="5" fillId="16" borderId="399" xfId="2" applyFill="1" applyBorder="1" applyAlignment="1" applyProtection="1">
      <alignment horizontal="left"/>
      <protection locked="0"/>
    </xf>
    <xf numFmtId="0" fontId="5" fillId="18" borderId="716" xfId="2" applyFill="1" applyBorder="1" applyProtection="1">
      <protection locked="0"/>
    </xf>
    <xf numFmtId="0" fontId="35" fillId="15" borderId="655" xfId="1" applyFont="1" applyFill="1" applyBorder="1" applyAlignment="1" applyProtection="1">
      <alignment horizontal="center"/>
      <protection locked="0"/>
    </xf>
    <xf numFmtId="0" fontId="64" fillId="18" borderId="628" xfId="429" applyFont="1" applyFill="1" applyBorder="1" applyAlignment="1" applyProtection="1">
      <alignment horizontal="center"/>
      <protection locked="0"/>
    </xf>
    <xf numFmtId="0" fontId="37" fillId="6" borderId="655" xfId="410" applyFont="1" applyFill="1" applyBorder="1" applyAlignment="1" applyProtection="1">
      <alignment horizontal="center"/>
      <protection locked="0"/>
    </xf>
    <xf numFmtId="0" fontId="64" fillId="16" borderId="628" xfId="429" applyFont="1" applyFill="1" applyBorder="1" applyAlignment="1" applyProtection="1">
      <alignment horizontal="center"/>
      <protection locked="0"/>
    </xf>
    <xf numFmtId="1" fontId="64" fillId="16" borderId="628" xfId="429" applyNumberFormat="1" applyFont="1" applyFill="1" applyBorder="1" applyAlignment="1" applyProtection="1">
      <alignment horizontal="center"/>
      <protection locked="0"/>
    </xf>
    <xf numFmtId="0" fontId="41" fillId="9" borderId="655" xfId="1" applyFont="1" applyFill="1" applyBorder="1" applyAlignment="1" applyProtection="1">
      <alignment horizontal="center"/>
      <protection locked="0"/>
    </xf>
    <xf numFmtId="0" fontId="5" fillId="13" borderId="432" xfId="413" applyFont="1" applyFill="1" applyBorder="1" applyAlignment="1" applyProtection="1">
      <alignment horizontal="center"/>
      <protection locked="0"/>
    </xf>
    <xf numFmtId="0" fontId="44" fillId="67" borderId="437" xfId="2" applyNumberFormat="1" applyFont="1" applyFill="1" applyBorder="1" applyAlignment="1" applyProtection="1">
      <alignment horizontal="center"/>
      <protection locked="0"/>
    </xf>
    <xf numFmtId="0" fontId="17" fillId="5" borderId="0" xfId="1" applyFont="1" applyFill="1" applyAlignment="1" applyProtection="1">
      <alignment horizontal="center"/>
      <protection locked="0"/>
    </xf>
    <xf numFmtId="1" fontId="5" fillId="5" borderId="586" xfId="2" applyNumberFormat="1" applyFill="1" applyBorder="1" applyAlignment="1" applyProtection="1">
      <alignment horizontal="center"/>
      <protection locked="0"/>
    </xf>
    <xf numFmtId="0" fontId="35" fillId="18" borderId="342" xfId="410" applyNumberFormat="1" applyFont="1" applyFill="1" applyBorder="1" applyAlignment="1" applyProtection="1">
      <alignment horizontal="center"/>
      <protection locked="0"/>
    </xf>
    <xf numFmtId="0" fontId="37" fillId="16" borderId="656" xfId="410" applyNumberFormat="1" applyFont="1" applyFill="1" applyBorder="1" applyAlignment="1" applyProtection="1">
      <alignment horizontal="center"/>
      <protection locked="0"/>
    </xf>
    <xf numFmtId="0" fontId="41" fillId="9" borderId="656" xfId="410" applyNumberFormat="1" applyFont="1" applyFill="1" applyBorder="1" applyAlignment="1" applyProtection="1">
      <alignment horizontal="center"/>
      <protection locked="0"/>
    </xf>
    <xf numFmtId="0" fontId="5" fillId="5" borderId="628" xfId="410" applyFont="1" applyFill="1" applyBorder="1" applyAlignment="1" applyProtection="1">
      <alignment horizontal="center"/>
      <protection locked="0"/>
    </xf>
    <xf numFmtId="0" fontId="5" fillId="5" borderId="365" xfId="410" applyFont="1" applyFill="1" applyBorder="1" applyAlignment="1" applyProtection="1">
      <alignment horizontal="center"/>
      <protection locked="0"/>
    </xf>
    <xf numFmtId="0" fontId="5" fillId="0" borderId="641" xfId="6" applyFont="1" applyBorder="1" applyProtection="1"/>
    <xf numFmtId="0" fontId="5" fillId="0" borderId="301" xfId="6" applyFont="1" applyBorder="1" applyProtection="1"/>
    <xf numFmtId="0" fontId="15" fillId="0" borderId="743" xfId="3" applyFont="1" applyBorder="1" applyAlignment="1" applyProtection="1">
      <alignment horizontal="left"/>
      <protection hidden="1"/>
    </xf>
    <xf numFmtId="0" fontId="27" fillId="4" borderId="741" xfId="3" applyFont="1" applyFill="1" applyBorder="1" applyAlignment="1" applyProtection="1">
      <protection hidden="1"/>
    </xf>
    <xf numFmtId="0" fontId="116" fillId="12" borderId="628" xfId="2" applyFont="1" applyFill="1" applyBorder="1" applyAlignment="1" applyProtection="1"/>
    <xf numFmtId="0" fontId="116" fillId="42" borderId="0" xfId="413" applyFont="1" applyFill="1" applyAlignment="1" applyProtection="1">
      <alignment horizontal="center"/>
    </xf>
    <xf numFmtId="0" fontId="116" fillId="42" borderId="193" xfId="413" applyFont="1" applyFill="1" applyBorder="1" applyAlignment="1" applyProtection="1">
      <alignment horizontal="center"/>
    </xf>
    <xf numFmtId="0" fontId="116" fillId="42" borderId="193" xfId="2" applyFont="1" applyFill="1" applyBorder="1" applyAlignment="1" applyProtection="1">
      <alignment horizontal="center"/>
    </xf>
    <xf numFmtId="0" fontId="116" fillId="12" borderId="398" xfId="413" applyFont="1" applyFill="1" applyBorder="1" applyAlignment="1" applyProtection="1">
      <alignment horizontal="right"/>
    </xf>
    <xf numFmtId="0" fontId="116" fillId="12" borderId="433" xfId="413" applyFont="1" applyFill="1" applyBorder="1" applyAlignment="1" applyProtection="1">
      <alignment horizontal="center"/>
    </xf>
    <xf numFmtId="0" fontId="56" fillId="12" borderId="28" xfId="1" applyFont="1" applyFill="1" applyBorder="1" applyProtection="1"/>
    <xf numFmtId="0" fontId="56" fillId="12" borderId="51" xfId="1" applyFont="1" applyFill="1" applyBorder="1" applyProtection="1"/>
    <xf numFmtId="0" fontId="56" fillId="12" borderId="62" xfId="1" applyFont="1" applyFill="1" applyBorder="1" applyProtection="1"/>
    <xf numFmtId="0" fontId="5" fillId="12" borderId="54" xfId="1" applyFont="1" applyFill="1" applyBorder="1" applyProtection="1"/>
    <xf numFmtId="0" fontId="51" fillId="12" borderId="44" xfId="1" applyFont="1" applyFill="1" applyBorder="1" applyAlignment="1" applyProtection="1">
      <alignment horizontal="right" wrapText="1"/>
    </xf>
    <xf numFmtId="0" fontId="51" fillId="12" borderId="47" xfId="1" applyFont="1" applyFill="1" applyBorder="1" applyAlignment="1" applyProtection="1">
      <alignment horizontal="right" wrapText="1"/>
    </xf>
    <xf numFmtId="0" fontId="56" fillId="12" borderId="13" xfId="1" applyFont="1" applyFill="1" applyBorder="1" applyProtection="1"/>
    <xf numFmtId="0" fontId="51" fillId="12" borderId="66" xfId="1" applyFont="1" applyFill="1" applyBorder="1" applyAlignment="1" applyProtection="1">
      <alignment horizontal="right" wrapText="1"/>
    </xf>
    <xf numFmtId="0" fontId="56" fillId="12" borderId="28" xfId="1" applyFont="1" applyFill="1" applyBorder="1" applyAlignment="1" applyProtection="1">
      <alignment wrapText="1"/>
    </xf>
    <xf numFmtId="0" fontId="342" fillId="3" borderId="0" xfId="1" applyFont="1" applyFill="1" applyAlignment="1" applyProtection="1">
      <alignment horizontal="left"/>
    </xf>
    <xf numFmtId="0" fontId="174" fillId="4" borderId="0" xfId="198" applyFont="1" applyFill="1"/>
    <xf numFmtId="0" fontId="343" fillId="7" borderId="346" xfId="1" applyFont="1" applyFill="1" applyBorder="1" applyAlignment="1" applyProtection="1">
      <alignment horizontal="center" vertical="center"/>
    </xf>
    <xf numFmtId="0" fontId="344" fillId="4" borderId="0" xfId="424" applyFont="1" applyFill="1" applyBorder="1" applyAlignment="1" applyProtection="1">
      <alignment wrapText="1"/>
    </xf>
    <xf numFmtId="0" fontId="321" fillId="5" borderId="125" xfId="1" applyFont="1" applyFill="1" applyBorder="1" applyProtection="1"/>
    <xf numFmtId="0" fontId="322" fillId="7" borderId="125" xfId="1" applyFont="1" applyFill="1" applyBorder="1" applyProtection="1"/>
    <xf numFmtId="0" fontId="166" fillId="12" borderId="85" xfId="1" applyFont="1" applyFill="1" applyBorder="1" applyAlignment="1" applyProtection="1"/>
    <xf numFmtId="0" fontId="247" fillId="3" borderId="0" xfId="413" applyFont="1" applyFill="1" applyAlignment="1" applyProtection="1">
      <alignment horizontal="left"/>
      <protection hidden="1"/>
    </xf>
    <xf numFmtId="0" fontId="47" fillId="3" borderId="0" xfId="413" applyFont="1" applyFill="1" applyAlignment="1" applyProtection="1">
      <alignment horizontal="left" wrapText="1"/>
      <protection hidden="1"/>
    </xf>
    <xf numFmtId="0" fontId="243" fillId="0" borderId="0" xfId="3" applyFont="1" applyProtection="1">
      <alignment vertical="top"/>
    </xf>
    <xf numFmtId="2" fontId="47" fillId="2" borderId="0" xfId="413" applyNumberFormat="1" applyFont="1" applyFill="1" applyAlignment="1" applyProtection="1">
      <alignment horizontal="left"/>
      <protection hidden="1"/>
    </xf>
    <xf numFmtId="0" fontId="120" fillId="2" borderId="0" xfId="413" applyFont="1" applyFill="1" applyAlignment="1" applyProtection="1">
      <protection hidden="1"/>
    </xf>
    <xf numFmtId="2" fontId="120" fillId="2" borderId="0" xfId="413" applyNumberFormat="1" applyFont="1" applyFill="1" applyAlignment="1" applyProtection="1">
      <alignment horizontal="left"/>
      <protection hidden="1"/>
    </xf>
    <xf numFmtId="0" fontId="45" fillId="0" borderId="0" xfId="3" applyFont="1" applyAlignment="1" applyProtection="1">
      <alignment horizontal="left"/>
      <protection hidden="1"/>
    </xf>
    <xf numFmtId="0" fontId="243" fillId="0" borderId="0" xfId="3" applyFont="1" applyProtection="1">
      <alignment vertical="top"/>
      <protection hidden="1"/>
    </xf>
    <xf numFmtId="0" fontId="243" fillId="0" borderId="0" xfId="3" applyFont="1" applyAlignment="1" applyProtection="1">
      <alignment horizontal="left"/>
    </xf>
    <xf numFmtId="2" fontId="47" fillId="2" borderId="0" xfId="2" applyNumberFormat="1" applyFont="1" applyFill="1" applyAlignment="1" applyProtection="1">
      <alignment horizontal="left"/>
      <protection hidden="1"/>
    </xf>
    <xf numFmtId="0" fontId="45" fillId="0" borderId="0" xfId="3" applyFont="1" applyProtection="1">
      <alignment vertical="top"/>
      <protection hidden="1"/>
    </xf>
    <xf numFmtId="0" fontId="45" fillId="4" borderId="0" xfId="3" applyFont="1" applyFill="1" applyProtection="1">
      <alignment vertical="top"/>
      <protection hidden="1"/>
    </xf>
    <xf numFmtId="0" fontId="47" fillId="2" borderId="0" xfId="413" applyFont="1" applyFill="1" applyAlignment="1" applyProtection="1">
      <alignment horizontal="left"/>
      <protection hidden="1"/>
    </xf>
    <xf numFmtId="0" fontId="120" fillId="2" borderId="0" xfId="2" applyFont="1" applyFill="1" applyAlignment="1" applyProtection="1">
      <alignment horizontal="left"/>
      <protection hidden="1"/>
    </xf>
    <xf numFmtId="0" fontId="243" fillId="4" borderId="0" xfId="3" applyFont="1" applyFill="1" applyAlignment="1" applyProtection="1">
      <alignment horizontal="left"/>
    </xf>
    <xf numFmtId="0" fontId="47" fillId="2" borderId="0" xfId="413" applyFont="1" applyFill="1" applyAlignment="1" applyProtection="1">
      <alignment horizontal="left" wrapText="1"/>
      <protection hidden="1"/>
    </xf>
    <xf numFmtId="0" fontId="45" fillId="4" borderId="0" xfId="3" applyFont="1" applyFill="1" applyAlignment="1" applyProtection="1">
      <alignment horizontal="left"/>
      <protection hidden="1"/>
    </xf>
    <xf numFmtId="0" fontId="12" fillId="0" borderId="0" xfId="3" applyProtection="1">
      <alignment vertical="top"/>
    </xf>
    <xf numFmtId="0" fontId="45" fillId="4" borderId="0" xfId="3" applyFont="1" applyFill="1" applyAlignment="1" applyProtection="1">
      <protection hidden="1"/>
    </xf>
    <xf numFmtId="0" fontId="45" fillId="4" borderId="0" xfId="3" applyFont="1" applyFill="1" applyAlignment="1" applyProtection="1">
      <alignment horizontal="left" vertical="top"/>
      <protection hidden="1"/>
    </xf>
    <xf numFmtId="0" fontId="243" fillId="46" borderId="0" xfId="3" applyFont="1" applyFill="1" applyAlignment="1" applyProtection="1">
      <alignment horizontal="left"/>
    </xf>
    <xf numFmtId="0" fontId="45" fillId="4" borderId="0" xfId="3" applyFont="1" applyFill="1" applyAlignment="1" applyProtection="1">
      <alignment horizontal="left" vertical="center"/>
      <protection hidden="1"/>
    </xf>
    <xf numFmtId="167" fontId="47" fillId="2" borderId="0" xfId="416" applyFont="1" applyFill="1" applyAlignment="1" applyProtection="1">
      <alignment horizontal="left"/>
      <protection hidden="1"/>
    </xf>
    <xf numFmtId="0" fontId="45" fillId="4" borderId="0" xfId="3" applyFont="1" applyFill="1" applyAlignment="1">
      <protection locked="0"/>
    </xf>
    <xf numFmtId="170" fontId="47" fillId="2" borderId="0" xfId="413" applyNumberFormat="1" applyFont="1" applyFill="1" applyAlignment="1" applyProtection="1">
      <alignment horizontal="left"/>
      <protection hidden="1"/>
    </xf>
    <xf numFmtId="170" fontId="47" fillId="63" borderId="0" xfId="3" applyNumberFormat="1" applyFont="1" applyFill="1" applyAlignment="1" applyProtection="1">
      <alignment horizontal="left"/>
      <protection hidden="1"/>
    </xf>
    <xf numFmtId="0" fontId="45" fillId="46" borderId="0" xfId="3" applyFont="1" applyFill="1" applyProtection="1">
      <alignment vertical="top"/>
      <protection hidden="1"/>
    </xf>
    <xf numFmtId="0" fontId="303" fillId="3" borderId="0" xfId="2" applyFont="1" applyFill="1" applyAlignment="1" applyProtection="1">
      <protection hidden="1"/>
    </xf>
    <xf numFmtId="0" fontId="122" fillId="3" borderId="0" xfId="413" applyFont="1" applyFill="1" applyAlignment="1" applyProtection="1">
      <alignment horizontal="center"/>
      <protection hidden="1"/>
    </xf>
    <xf numFmtId="0" fontId="2" fillId="3" borderId="0" xfId="413" applyFont="1" applyFill="1" applyAlignment="1" applyProtection="1">
      <alignment horizontal="right"/>
      <protection hidden="1"/>
    </xf>
    <xf numFmtId="0" fontId="150" fillId="3" borderId="0" xfId="2" applyFont="1" applyFill="1" applyAlignment="1" applyProtection="1">
      <alignment horizontal="left"/>
      <protection hidden="1"/>
    </xf>
    <xf numFmtId="0" fontId="150" fillId="3" borderId="0" xfId="424" applyFont="1" applyFill="1" applyAlignment="1" applyProtection="1">
      <alignment horizontal="left" vertical="top" wrapText="1"/>
      <protection hidden="1"/>
    </xf>
    <xf numFmtId="0" fontId="105" fillId="45" borderId="0" xfId="413" applyFont="1" applyFill="1" applyAlignment="1" applyProtection="1">
      <alignment horizontal="left"/>
      <protection hidden="1"/>
    </xf>
    <xf numFmtId="0" fontId="243" fillId="0" borderId="0" xfId="3" applyFont="1" applyAlignment="1" applyProtection="1">
      <alignment horizontal="left"/>
      <protection hidden="1"/>
    </xf>
    <xf numFmtId="0" fontId="45" fillId="46" borderId="0" xfId="3" applyFont="1" applyFill="1" applyAlignment="1" applyProtection="1">
      <alignment horizontal="left"/>
      <protection hidden="1"/>
    </xf>
    <xf numFmtId="0" fontId="5" fillId="3" borderId="0" xfId="2" applyFill="1" applyBorder="1" applyAlignment="1" applyProtection="1">
      <alignment horizontal="left" vertical="top"/>
      <protection hidden="1"/>
    </xf>
    <xf numFmtId="0" fontId="5" fillId="5" borderId="709" xfId="2" applyFill="1" applyBorder="1" applyAlignment="1" applyProtection="1">
      <protection locked="0"/>
    </xf>
    <xf numFmtId="0" fontId="5" fillId="5" borderId="58" xfId="2" applyFill="1" applyBorder="1" applyAlignment="1" applyProtection="1">
      <protection locked="0"/>
    </xf>
    <xf numFmtId="0" fontId="0" fillId="0" borderId="58" xfId="0" applyBorder="1" applyProtection="1">
      <protection locked="0"/>
    </xf>
    <xf numFmtId="0" fontId="71" fillId="3" borderId="0" xfId="2" applyFont="1" applyFill="1" applyAlignment="1" applyProtection="1">
      <alignment horizontal="right"/>
      <protection hidden="1"/>
    </xf>
    <xf numFmtId="0" fontId="13" fillId="3" borderId="0" xfId="3" applyFont="1" applyFill="1" applyAlignment="1" applyProtection="1">
      <alignment horizontal="left"/>
      <protection hidden="1"/>
    </xf>
    <xf numFmtId="49" fontId="5" fillId="46" borderId="709" xfId="413" applyNumberFormat="1" applyFont="1" applyFill="1" applyBorder="1" applyAlignment="1" applyProtection="1">
      <alignment horizontal="left"/>
      <protection hidden="1"/>
    </xf>
    <xf numFmtId="49" fontId="5" fillId="46" borderId="58" xfId="413" applyNumberFormat="1" applyFont="1" applyFill="1" applyBorder="1" applyAlignment="1" applyProtection="1">
      <alignment horizontal="left"/>
      <protection hidden="1"/>
    </xf>
    <xf numFmtId="49" fontId="5" fillId="46" borderId="657" xfId="413" applyNumberFormat="1" applyFont="1" applyFill="1" applyBorder="1" applyAlignment="1" applyProtection="1">
      <alignment horizontal="left"/>
      <protection hidden="1"/>
    </xf>
    <xf numFmtId="49" fontId="5" fillId="46" borderId="680" xfId="413" applyNumberFormat="1" applyFont="1" applyFill="1" applyBorder="1" applyAlignment="1" applyProtection="1">
      <alignment horizontal="left"/>
      <protection hidden="1"/>
    </xf>
    <xf numFmtId="0" fontId="5" fillId="4" borderId="466" xfId="413" applyFont="1" applyFill="1" applyBorder="1" applyAlignment="1" applyProtection="1">
      <alignment horizontal="left" vertical="top" wrapText="1"/>
      <protection hidden="1"/>
    </xf>
    <xf numFmtId="0" fontId="0" fillId="0" borderId="342" xfId="0" applyBorder="1"/>
    <xf numFmtId="0" fontId="0" fillId="0" borderId="399" xfId="0" applyBorder="1"/>
    <xf numFmtId="0" fontId="0" fillId="0" borderId="641" xfId="0" applyBorder="1"/>
    <xf numFmtId="0" fontId="0" fillId="0" borderId="0" xfId="0"/>
    <xf numFmtId="0" fontId="0" fillId="0" borderId="301" xfId="0" applyBorder="1"/>
    <xf numFmtId="0" fontId="0" fillId="0" borderId="759" xfId="0" applyBorder="1"/>
    <xf numFmtId="0" fontId="0" fillId="0" borderId="758" xfId="0" applyBorder="1"/>
    <xf numFmtId="0" fontId="0" fillId="0" borderId="760" xfId="0" applyBorder="1"/>
    <xf numFmtId="0" fontId="71" fillId="14" borderId="0" xfId="2" applyFont="1" applyFill="1" applyAlignment="1" applyProtection="1">
      <alignment horizontal="left"/>
      <protection hidden="1"/>
    </xf>
    <xf numFmtId="0" fontId="9" fillId="3" borderId="0" xfId="2" applyFont="1" applyFill="1" applyAlignment="1" applyProtection="1">
      <alignment horizontal="left"/>
      <protection hidden="1"/>
    </xf>
    <xf numFmtId="0" fontId="8" fillId="3" borderId="0" xfId="2" applyFont="1" applyFill="1" applyAlignment="1" applyProtection="1">
      <alignment horizontal="center"/>
      <protection hidden="1"/>
    </xf>
    <xf numFmtId="0" fontId="5" fillId="46" borderId="709" xfId="413" applyFont="1" applyFill="1" applyBorder="1" applyAlignment="1" applyProtection="1">
      <alignment horizontal="left"/>
      <protection hidden="1"/>
    </xf>
    <xf numFmtId="0" fontId="5" fillId="46" borderId="58" xfId="413" applyFont="1" applyFill="1" applyBorder="1" applyAlignment="1" applyProtection="1">
      <alignment horizontal="left"/>
      <protection hidden="1"/>
    </xf>
    <xf numFmtId="0" fontId="44" fillId="14" borderId="476" xfId="413" applyFont="1" applyFill="1" applyBorder="1" applyAlignment="1" applyProtection="1">
      <alignment horizontal="center"/>
      <protection hidden="1"/>
    </xf>
    <xf numFmtId="0" fontId="44" fillId="14" borderId="478" xfId="413" applyFont="1" applyFill="1" applyBorder="1" applyAlignment="1" applyProtection="1">
      <alignment horizontal="center"/>
      <protection hidden="1"/>
    </xf>
    <xf numFmtId="0" fontId="9" fillId="4" borderId="123" xfId="413" applyFont="1" applyFill="1" applyBorder="1" applyAlignment="1" applyProtection="1">
      <alignment horizontal="left"/>
      <protection hidden="1"/>
    </xf>
    <xf numFmtId="0" fontId="9" fillId="4" borderId="0" xfId="413" applyFont="1" applyFill="1" applyBorder="1" applyAlignment="1" applyProtection="1">
      <alignment horizontal="left"/>
      <protection hidden="1"/>
    </xf>
    <xf numFmtId="0" fontId="179" fillId="4" borderId="0" xfId="413" applyFont="1" applyFill="1" applyAlignment="1" applyProtection="1">
      <alignment horizontal="left" vertical="top"/>
      <protection hidden="1"/>
    </xf>
    <xf numFmtId="0" fontId="217" fillId="3" borderId="0" xfId="2" applyFont="1" applyFill="1" applyAlignment="1" applyProtection="1">
      <alignment horizontal="left" vertical="top"/>
      <protection hidden="1"/>
    </xf>
    <xf numFmtId="0" fontId="26" fillId="4" borderId="476" xfId="2" applyFont="1" applyFill="1" applyBorder="1" applyAlignment="1" applyProtection="1">
      <alignment horizontal="left"/>
      <protection hidden="1"/>
    </xf>
    <xf numFmtId="0" fontId="26" fillId="4" borderId="478" xfId="2" applyFont="1" applyFill="1" applyBorder="1" applyAlignment="1" applyProtection="1">
      <alignment horizontal="left"/>
      <protection hidden="1"/>
    </xf>
    <xf numFmtId="0" fontId="5" fillId="46" borderId="761" xfId="413" applyFont="1" applyFill="1" applyBorder="1" applyAlignment="1" applyProtection="1">
      <alignment horizontal="left"/>
      <protection hidden="1"/>
    </xf>
    <xf numFmtId="0" fontId="5" fillId="46" borderId="762" xfId="413" applyFont="1" applyFill="1" applyBorder="1" applyAlignment="1" applyProtection="1">
      <alignment horizontal="left"/>
      <protection hidden="1"/>
    </xf>
    <xf numFmtId="0" fontId="1" fillId="4" borderId="0" xfId="413" applyFont="1" applyFill="1" applyAlignment="1" applyProtection="1">
      <alignment horizontal="center"/>
      <protection hidden="1"/>
    </xf>
    <xf numFmtId="0" fontId="5" fillId="0" borderId="476" xfId="413" applyFont="1" applyBorder="1" applyAlignment="1" applyProtection="1">
      <alignment horizontal="center"/>
      <protection hidden="1"/>
    </xf>
    <xf numFmtId="0" fontId="5" fillId="0" borderId="478" xfId="413" applyFont="1" applyBorder="1" applyAlignment="1" applyProtection="1">
      <alignment horizontal="center"/>
      <protection hidden="1"/>
    </xf>
    <xf numFmtId="0" fontId="68" fillId="10" borderId="342" xfId="2" applyFont="1" applyFill="1" applyBorder="1" applyProtection="1">
      <protection hidden="1"/>
    </xf>
    <xf numFmtId="0" fontId="105" fillId="34" borderId="123" xfId="2" applyFont="1" applyFill="1" applyBorder="1" applyAlignment="1" applyProtection="1">
      <alignment horizontal="center"/>
      <protection hidden="1"/>
    </xf>
    <xf numFmtId="0" fontId="105" fillId="34" borderId="0" xfId="2" applyFont="1" applyFill="1" applyBorder="1" applyAlignment="1" applyProtection="1">
      <alignment horizontal="center"/>
      <protection hidden="1"/>
    </xf>
    <xf numFmtId="0" fontId="105" fillId="34" borderId="301" xfId="2" applyFont="1" applyFill="1" applyBorder="1" applyAlignment="1" applyProtection="1">
      <alignment horizontal="center"/>
      <protection hidden="1"/>
    </xf>
    <xf numFmtId="0" fontId="138" fillId="0" borderId="409" xfId="2" applyFont="1" applyBorder="1" applyAlignment="1" applyProtection="1">
      <alignment horizontal="left"/>
      <protection hidden="1"/>
    </xf>
    <xf numFmtId="0" fontId="0" fillId="0" borderId="343" xfId="0" applyBorder="1" applyProtection="1">
      <protection hidden="1"/>
    </xf>
    <xf numFmtId="0" fontId="5" fillId="3" borderId="0" xfId="2" applyFont="1" applyFill="1" applyAlignment="1" applyProtection="1">
      <alignment horizontal="left" wrapText="1"/>
      <protection hidden="1"/>
    </xf>
    <xf numFmtId="0" fontId="16" fillId="55" borderId="123" xfId="413" applyFont="1" applyFill="1" applyBorder="1" applyAlignment="1" applyProtection="1">
      <alignment horizontal="center"/>
      <protection hidden="1"/>
    </xf>
    <xf numFmtId="0" fontId="16" fillId="55" borderId="0" xfId="413" applyFont="1" applyFill="1" applyBorder="1" applyAlignment="1" applyProtection="1">
      <alignment horizontal="center"/>
      <protection hidden="1"/>
    </xf>
    <xf numFmtId="0" fontId="16" fillId="55" borderId="301" xfId="413" applyFont="1" applyFill="1" applyBorder="1" applyAlignment="1" applyProtection="1">
      <alignment horizontal="center"/>
      <protection hidden="1"/>
    </xf>
    <xf numFmtId="0" fontId="16" fillId="55" borderId="494" xfId="413" applyFont="1" applyFill="1" applyBorder="1" applyAlignment="1" applyProtection="1">
      <alignment horizontal="center"/>
      <protection hidden="1"/>
    </xf>
    <xf numFmtId="0" fontId="16" fillId="55" borderId="482" xfId="413" applyFont="1" applyFill="1" applyBorder="1" applyAlignment="1" applyProtection="1">
      <alignment horizontal="center"/>
      <protection hidden="1"/>
    </xf>
    <xf numFmtId="0" fontId="16" fillId="55" borderId="493" xfId="413" applyFont="1" applyFill="1" applyBorder="1" applyAlignment="1" applyProtection="1">
      <alignment horizontal="center"/>
      <protection hidden="1"/>
    </xf>
    <xf numFmtId="0" fontId="5" fillId="10" borderId="39" xfId="2" applyFont="1" applyFill="1" applyBorder="1" applyAlignment="1" applyProtection="1">
      <protection hidden="1"/>
    </xf>
    <xf numFmtId="0" fontId="5" fillId="10" borderId="77" xfId="2" applyFont="1" applyFill="1" applyBorder="1" applyAlignment="1" applyProtection="1">
      <protection hidden="1"/>
    </xf>
    <xf numFmtId="0" fontId="5" fillId="5" borderId="709" xfId="413" applyFont="1" applyFill="1" applyBorder="1" applyAlignment="1" applyProtection="1">
      <protection locked="0"/>
    </xf>
    <xf numFmtId="0" fontId="5" fillId="14" borderId="500" xfId="413" applyFont="1" applyFill="1" applyBorder="1" applyAlignment="1" applyProtection="1">
      <protection hidden="1"/>
    </xf>
    <xf numFmtId="0" fontId="5" fillId="14" borderId="122" xfId="413" applyFont="1" applyFill="1" applyBorder="1" applyAlignment="1" applyProtection="1">
      <protection hidden="1"/>
    </xf>
    <xf numFmtId="0" fontId="5" fillId="5" borderId="709" xfId="413" applyFont="1" applyFill="1" applyBorder="1" applyAlignment="1" applyProtection="1">
      <alignment wrapText="1"/>
      <protection locked="0"/>
    </xf>
    <xf numFmtId="164" fontId="5" fillId="68" borderId="444" xfId="413" applyNumberFormat="1" applyFont="1" applyFill="1" applyBorder="1" applyAlignment="1" applyProtection="1">
      <alignment horizontal="center"/>
      <protection hidden="1"/>
    </xf>
    <xf numFmtId="164" fontId="5" fillId="68" borderId="501" xfId="413" applyNumberFormat="1" applyFont="1" applyFill="1" applyBorder="1" applyAlignment="1" applyProtection="1">
      <alignment horizontal="center"/>
      <protection hidden="1"/>
    </xf>
    <xf numFmtId="0" fontId="5" fillId="14" borderId="39" xfId="413" applyFont="1" applyFill="1" applyBorder="1" applyAlignment="1" applyProtection="1">
      <protection hidden="1"/>
    </xf>
    <xf numFmtId="0" fontId="5" fillId="14" borderId="77" xfId="413" applyFont="1" applyFill="1" applyBorder="1" applyAlignment="1" applyProtection="1">
      <protection hidden="1"/>
    </xf>
    <xf numFmtId="0" fontId="5" fillId="5" borderId="657" xfId="2" applyFill="1" applyBorder="1" applyAlignment="1" applyProtection="1">
      <protection locked="0"/>
    </xf>
    <xf numFmtId="0" fontId="0" fillId="0" borderId="680" xfId="0" applyBorder="1" applyProtection="1">
      <protection locked="0"/>
    </xf>
    <xf numFmtId="0" fontId="5" fillId="36" borderId="123" xfId="2" applyFont="1" applyFill="1" applyBorder="1" applyAlignment="1" applyProtection="1">
      <alignment horizontal="center"/>
      <protection hidden="1"/>
    </xf>
    <xf numFmtId="0" fontId="5" fillId="36" borderId="0" xfId="2" applyFont="1" applyFill="1" applyBorder="1" applyAlignment="1" applyProtection="1">
      <alignment horizontal="center"/>
      <protection hidden="1"/>
    </xf>
    <xf numFmtId="0" fontId="5" fillId="36" borderId="301" xfId="2" applyFont="1" applyFill="1" applyBorder="1" applyAlignment="1" applyProtection="1">
      <alignment horizontal="center"/>
      <protection hidden="1"/>
    </xf>
    <xf numFmtId="0" fontId="5" fillId="3" borderId="409" xfId="2" applyFill="1" applyBorder="1" applyAlignment="1" applyProtection="1">
      <alignment horizontal="right" wrapText="1"/>
      <protection hidden="1"/>
    </xf>
    <xf numFmtId="0" fontId="0" fillId="0" borderId="446" xfId="0" applyBorder="1" applyProtection="1">
      <protection hidden="1"/>
    </xf>
    <xf numFmtId="0" fontId="0" fillId="0" borderId="472" xfId="0" applyBorder="1" applyProtection="1">
      <protection hidden="1"/>
    </xf>
    <xf numFmtId="0" fontId="1" fillId="14" borderId="470" xfId="2" applyFont="1" applyFill="1" applyBorder="1" applyAlignment="1" applyProtection="1">
      <alignment horizontal="center"/>
      <protection hidden="1"/>
    </xf>
    <xf numFmtId="0" fontId="1" fillId="14" borderId="171" xfId="2" applyFont="1" applyFill="1" applyBorder="1" applyAlignment="1" applyProtection="1">
      <alignment horizontal="center"/>
      <protection hidden="1"/>
    </xf>
    <xf numFmtId="0" fontId="14" fillId="14" borderId="409" xfId="2" applyFont="1" applyFill="1" applyBorder="1" applyAlignment="1" applyProtection="1">
      <alignment horizontal="center" vertical="center"/>
      <protection hidden="1"/>
    </xf>
    <xf numFmtId="0" fontId="14" fillId="14" borderId="342" xfId="2" applyFont="1" applyFill="1" applyBorder="1" applyAlignment="1" applyProtection="1">
      <alignment horizontal="center" vertical="center"/>
      <protection hidden="1"/>
    </xf>
    <xf numFmtId="0" fontId="14" fillId="14" borderId="343" xfId="2" applyFont="1" applyFill="1" applyBorder="1" applyAlignment="1" applyProtection="1">
      <alignment horizontal="center" vertical="center"/>
      <protection hidden="1"/>
    </xf>
    <xf numFmtId="0" fontId="14" fillId="14" borderId="362" xfId="2" applyFont="1" applyFill="1" applyBorder="1" applyAlignment="1" applyProtection="1">
      <alignment horizontal="center" vertical="center"/>
      <protection hidden="1"/>
    </xf>
    <xf numFmtId="0" fontId="14" fillId="14" borderId="363" xfId="2" applyFont="1" applyFill="1" applyBorder="1" applyAlignment="1" applyProtection="1">
      <alignment horizontal="center" vertical="center"/>
      <protection hidden="1"/>
    </xf>
    <xf numFmtId="0" fontId="14" fillId="14" borderId="364" xfId="2" applyFont="1" applyFill="1" applyBorder="1" applyAlignment="1" applyProtection="1">
      <alignment horizontal="center" vertical="center"/>
      <protection hidden="1"/>
    </xf>
    <xf numFmtId="0" fontId="0" fillId="0" borderId="171" xfId="0" applyBorder="1" applyProtection="1">
      <protection hidden="1"/>
    </xf>
    <xf numFmtId="0" fontId="217" fillId="0" borderId="0" xfId="413" applyFont="1" applyAlignment="1" applyProtection="1">
      <alignment horizontal="left"/>
      <protection hidden="1"/>
    </xf>
    <xf numFmtId="0" fontId="5" fillId="10" borderId="474" xfId="2" applyFill="1" applyBorder="1" applyAlignment="1" applyProtection="1">
      <alignment horizontal="center" wrapText="1"/>
      <protection hidden="1"/>
    </xf>
    <xf numFmtId="0" fontId="5" fillId="10" borderId="343" xfId="2" applyFill="1" applyBorder="1" applyAlignment="1" applyProtection="1">
      <alignment horizontal="center" wrapText="1"/>
      <protection hidden="1"/>
    </xf>
    <xf numFmtId="165" fontId="164" fillId="12" borderId="409" xfId="2" applyNumberFormat="1" applyFont="1" applyFill="1" applyBorder="1" applyAlignment="1" applyProtection="1"/>
    <xf numFmtId="165" fontId="164" fillId="12" borderId="343" xfId="2" applyNumberFormat="1" applyFont="1" applyFill="1" applyBorder="1" applyAlignment="1" applyProtection="1"/>
    <xf numFmtId="165" fontId="164" fillId="12" borderId="494" xfId="2" applyNumberFormat="1" applyFont="1" applyFill="1" applyBorder="1" applyAlignment="1" applyProtection="1"/>
    <xf numFmtId="165" fontId="164" fillId="12" borderId="493" xfId="2" applyNumberFormat="1" applyFont="1" applyFill="1" applyBorder="1" applyAlignment="1" applyProtection="1"/>
    <xf numFmtId="0" fontId="44" fillId="14" borderId="474" xfId="2" applyFont="1" applyFill="1" applyBorder="1" applyAlignment="1" applyProtection="1">
      <alignment horizontal="center"/>
      <protection hidden="1"/>
    </xf>
    <xf numFmtId="0" fontId="27" fillId="14" borderId="123" xfId="2" applyFont="1" applyFill="1" applyBorder="1" applyAlignment="1" applyProtection="1">
      <alignment horizontal="left" vertical="center" textRotation="90" wrapText="1"/>
      <protection hidden="1"/>
    </xf>
    <xf numFmtId="0" fontId="26" fillId="0" borderId="123" xfId="0" applyFont="1" applyBorder="1" applyProtection="1">
      <protection hidden="1"/>
    </xf>
    <xf numFmtId="0" fontId="44" fillId="71" borderId="123" xfId="2" applyNumberFormat="1" applyFont="1" applyFill="1" applyBorder="1" applyAlignment="1" applyProtection="1">
      <alignment horizontal="center"/>
      <protection hidden="1"/>
    </xf>
    <xf numFmtId="0" fontId="44" fillId="71" borderId="0" xfId="2" applyNumberFormat="1" applyFont="1" applyFill="1" applyBorder="1" applyAlignment="1" applyProtection="1">
      <alignment horizontal="center"/>
      <protection hidden="1"/>
    </xf>
    <xf numFmtId="0" fontId="44" fillId="71" borderId="301" xfId="2" applyNumberFormat="1" applyFont="1" applyFill="1" applyBorder="1" applyAlignment="1" applyProtection="1">
      <alignment horizontal="center"/>
      <protection hidden="1"/>
    </xf>
    <xf numFmtId="0" fontId="5" fillId="26" borderId="383" xfId="2" applyFont="1" applyFill="1" applyBorder="1" applyAlignment="1" applyProtection="1">
      <alignment horizontal="center"/>
      <protection hidden="1"/>
    </xf>
    <xf numFmtId="0" fontId="5" fillId="26" borderId="499" xfId="2" applyFont="1" applyFill="1" applyBorder="1" applyAlignment="1" applyProtection="1">
      <alignment horizontal="center"/>
      <protection hidden="1"/>
    </xf>
    <xf numFmtId="0" fontId="5" fillId="26" borderId="384" xfId="2" applyFont="1" applyFill="1" applyBorder="1" applyAlignment="1" applyProtection="1">
      <alignment horizontal="center"/>
      <protection hidden="1"/>
    </xf>
    <xf numFmtId="0" fontId="267" fillId="72" borderId="494" xfId="413" applyNumberFormat="1" applyFont="1" applyFill="1" applyBorder="1" applyAlignment="1" applyProtection="1">
      <alignment horizontal="center"/>
      <protection hidden="1"/>
    </xf>
    <xf numFmtId="0" fontId="267" fillId="72" borderId="482" xfId="413" applyNumberFormat="1" applyFont="1" applyFill="1" applyBorder="1" applyAlignment="1" applyProtection="1">
      <alignment horizontal="center"/>
      <protection hidden="1"/>
    </xf>
    <xf numFmtId="0" fontId="267" fillId="72" borderId="493" xfId="413" applyNumberFormat="1" applyFont="1" applyFill="1" applyBorder="1" applyAlignment="1" applyProtection="1">
      <alignment horizontal="center"/>
      <protection hidden="1"/>
    </xf>
    <xf numFmtId="0" fontId="5" fillId="26" borderId="123" xfId="2" applyFont="1" applyFill="1" applyBorder="1" applyAlignment="1" applyProtection="1">
      <alignment horizontal="center"/>
      <protection hidden="1"/>
    </xf>
    <xf numFmtId="0" fontId="5" fillId="26" borderId="0" xfId="2" applyFont="1" applyFill="1" applyBorder="1" applyAlignment="1" applyProtection="1">
      <alignment horizontal="center"/>
      <protection hidden="1"/>
    </xf>
    <xf numFmtId="0" fontId="5" fillId="26" borderId="301" xfId="2" applyFont="1" applyFill="1" applyBorder="1" applyAlignment="1" applyProtection="1">
      <alignment horizontal="center"/>
      <protection hidden="1"/>
    </xf>
    <xf numFmtId="0" fontId="44" fillId="69" borderId="409" xfId="2" applyNumberFormat="1" applyFont="1" applyFill="1" applyBorder="1" applyAlignment="1" applyProtection="1">
      <alignment horizontal="center" wrapText="1"/>
      <protection hidden="1"/>
    </xf>
    <xf numFmtId="0" fontId="44" fillId="69" borderId="342" xfId="2" applyNumberFormat="1" applyFont="1" applyFill="1" applyBorder="1" applyAlignment="1" applyProtection="1">
      <alignment horizontal="center" wrapText="1"/>
      <protection hidden="1"/>
    </xf>
    <xf numFmtId="0" fontId="44" fillId="69" borderId="343" xfId="2" applyNumberFormat="1" applyFont="1" applyFill="1" applyBorder="1" applyAlignment="1" applyProtection="1">
      <alignment horizontal="center" wrapText="1"/>
      <protection hidden="1"/>
    </xf>
    <xf numFmtId="0" fontId="43" fillId="70" borderId="123" xfId="2" applyNumberFormat="1" applyFont="1" applyFill="1" applyBorder="1" applyAlignment="1" applyProtection="1">
      <alignment horizontal="center" wrapText="1"/>
      <protection hidden="1"/>
    </xf>
    <xf numFmtId="0" fontId="43" fillId="70" borderId="0" xfId="2" applyNumberFormat="1" applyFont="1" applyFill="1" applyBorder="1" applyAlignment="1" applyProtection="1">
      <alignment horizontal="center" wrapText="1"/>
      <protection hidden="1"/>
    </xf>
    <xf numFmtId="0" fontId="43" fillId="70" borderId="301" xfId="2" applyNumberFormat="1" applyFont="1" applyFill="1" applyBorder="1" applyAlignment="1" applyProtection="1">
      <alignment horizontal="center" wrapText="1"/>
      <protection hidden="1"/>
    </xf>
    <xf numFmtId="0" fontId="5" fillId="2" borderId="0" xfId="2" applyFont="1" applyFill="1" applyAlignment="1" applyProtection="1">
      <alignment horizontal="center"/>
      <protection hidden="1"/>
    </xf>
    <xf numFmtId="0" fontId="5" fillId="5" borderId="761" xfId="2" applyFill="1" applyBorder="1" applyAlignment="1" applyProtection="1">
      <protection locked="0"/>
    </xf>
    <xf numFmtId="0" fontId="0" fillId="0" borderId="762" xfId="0" applyBorder="1" applyProtection="1">
      <protection locked="0"/>
    </xf>
    <xf numFmtId="0" fontId="5" fillId="5" borderId="743" xfId="2" applyFill="1" applyBorder="1" applyAlignment="1" applyProtection="1">
      <alignment horizontal="center" wrapText="1"/>
      <protection locked="0"/>
    </xf>
    <xf numFmtId="0" fontId="5" fillId="5" borderId="742" xfId="2" applyFill="1" applyBorder="1" applyAlignment="1" applyProtection="1">
      <alignment horizontal="center" wrapText="1"/>
      <protection locked="0"/>
    </xf>
    <xf numFmtId="0" fontId="5" fillId="3" borderId="0" xfId="2" applyFill="1" applyAlignment="1" applyProtection="1">
      <protection hidden="1"/>
    </xf>
    <xf numFmtId="0" fontId="5" fillId="3" borderId="409" xfId="2" applyFill="1" applyBorder="1" applyAlignment="1" applyProtection="1">
      <alignment vertical="top"/>
      <protection hidden="1"/>
    </xf>
    <xf numFmtId="0" fontId="5" fillId="3" borderId="409" xfId="2" applyFill="1" applyBorder="1" applyAlignment="1" applyProtection="1">
      <alignment horizontal="center"/>
      <protection hidden="1"/>
    </xf>
    <xf numFmtId="0" fontId="5" fillId="3" borderId="343" xfId="2" applyFill="1" applyBorder="1" applyAlignment="1" applyProtection="1">
      <alignment horizontal="center"/>
      <protection hidden="1"/>
    </xf>
    <xf numFmtId="0" fontId="5" fillId="3" borderId="446" xfId="2" applyFill="1" applyBorder="1" applyAlignment="1" applyProtection="1">
      <alignment horizontal="center"/>
      <protection hidden="1"/>
    </xf>
    <xf numFmtId="0" fontId="5" fillId="3" borderId="472" xfId="2" applyFill="1" applyBorder="1" applyAlignment="1" applyProtection="1">
      <alignment horizontal="center"/>
      <protection hidden="1"/>
    </xf>
    <xf numFmtId="9" fontId="5" fillId="2" borderId="342" xfId="427" applyFont="1" applyFill="1" applyBorder="1" applyAlignment="1" applyProtection="1">
      <alignment horizontal="center" vertical="top" wrapText="1"/>
      <protection hidden="1"/>
    </xf>
    <xf numFmtId="0" fontId="5" fillId="3" borderId="743" xfId="2" applyFill="1" applyBorder="1" applyAlignment="1" applyProtection="1">
      <alignment horizontal="center" wrapText="1"/>
      <protection hidden="1"/>
    </xf>
    <xf numFmtId="0" fontId="5" fillId="3" borderId="741" xfId="2" applyFill="1" applyBorder="1" applyAlignment="1" applyProtection="1">
      <alignment horizontal="center" wrapText="1"/>
      <protection hidden="1"/>
    </xf>
    <xf numFmtId="0" fontId="44" fillId="3" borderId="734" xfId="2" applyFont="1" applyFill="1" applyBorder="1" applyAlignment="1" applyProtection="1">
      <alignment horizontal="right"/>
      <protection hidden="1"/>
    </xf>
    <xf numFmtId="0" fontId="217" fillId="3" borderId="0" xfId="2" applyFont="1" applyFill="1" applyAlignment="1" applyProtection="1">
      <alignment horizontal="left"/>
      <protection hidden="1"/>
    </xf>
    <xf numFmtId="0" fontId="5" fillId="3" borderId="342" xfId="2" applyFont="1" applyFill="1" applyBorder="1" applyAlignment="1" applyProtection="1">
      <alignment horizontal="right"/>
      <protection hidden="1"/>
    </xf>
    <xf numFmtId="0" fontId="5" fillId="3" borderId="476" xfId="413" applyFont="1" applyFill="1" applyBorder="1" applyAlignment="1" applyProtection="1">
      <protection hidden="1"/>
    </xf>
    <xf numFmtId="0" fontId="5" fillId="3" borderId="477" xfId="413" applyFont="1" applyFill="1" applyBorder="1" applyAlignment="1" applyProtection="1">
      <protection hidden="1"/>
    </xf>
    <xf numFmtId="0" fontId="5" fillId="3" borderId="478" xfId="413" applyFont="1" applyFill="1" applyBorder="1" applyAlignment="1" applyProtection="1">
      <protection hidden="1"/>
    </xf>
    <xf numFmtId="0" fontId="5" fillId="14" borderId="476" xfId="413" applyFont="1" applyFill="1" applyBorder="1" applyAlignment="1" applyProtection="1">
      <protection hidden="1"/>
    </xf>
    <xf numFmtId="0" fontId="0" fillId="0" borderId="477" xfId="0" applyBorder="1" applyProtection="1">
      <protection hidden="1"/>
    </xf>
    <xf numFmtId="0" fontId="0" fillId="0" borderId="478" xfId="0" applyBorder="1" applyProtection="1">
      <protection hidden="1"/>
    </xf>
    <xf numFmtId="0" fontId="5" fillId="4" borderId="342" xfId="413" applyFont="1" applyFill="1" applyBorder="1" applyAlignment="1" applyProtection="1">
      <alignment vertical="top" wrapText="1"/>
      <protection hidden="1"/>
    </xf>
    <xf numFmtId="0" fontId="5" fillId="4" borderId="0" xfId="413" applyFont="1" applyFill="1" applyBorder="1" applyAlignment="1" applyProtection="1">
      <alignment vertical="top" wrapText="1"/>
      <protection hidden="1"/>
    </xf>
    <xf numFmtId="0" fontId="217" fillId="0" borderId="0" xfId="2" applyFont="1" applyFill="1" applyAlignment="1" applyProtection="1">
      <alignment horizontal="left"/>
      <protection hidden="1"/>
    </xf>
    <xf numFmtId="0" fontId="26" fillId="3" borderId="0" xfId="2" applyFont="1" applyFill="1" applyBorder="1" applyAlignment="1" applyProtection="1">
      <alignment horizontal="right"/>
      <protection hidden="1"/>
    </xf>
    <xf numFmtId="0" fontId="5" fillId="3" borderId="0" xfId="2" applyFill="1" applyBorder="1" applyAlignment="1" applyProtection="1">
      <alignment horizontal="left"/>
      <protection hidden="1"/>
    </xf>
    <xf numFmtId="0" fontId="59" fillId="4" borderId="0" xfId="413" applyFont="1" applyFill="1" applyBorder="1" applyAlignment="1" applyProtection="1">
      <alignment horizontal="right"/>
      <protection hidden="1"/>
    </xf>
    <xf numFmtId="0" fontId="59" fillId="4" borderId="301" xfId="413" applyFont="1" applyFill="1" applyBorder="1" applyAlignment="1" applyProtection="1">
      <alignment horizontal="right"/>
      <protection hidden="1"/>
    </xf>
    <xf numFmtId="2" fontId="5" fillId="4" borderId="476" xfId="2" applyNumberFormat="1" applyFont="1" applyFill="1" applyBorder="1" applyAlignment="1" applyProtection="1">
      <alignment horizontal="center"/>
      <protection hidden="1"/>
    </xf>
    <xf numFmtId="0" fontId="5" fillId="0" borderId="477" xfId="0" applyFont="1" applyBorder="1" applyProtection="1">
      <protection hidden="1"/>
    </xf>
    <xf numFmtId="0" fontId="5" fillId="0" borderId="478" xfId="0" applyFont="1" applyBorder="1" applyProtection="1">
      <protection hidden="1"/>
    </xf>
    <xf numFmtId="0" fontId="5" fillId="3" borderId="0" xfId="2" applyFont="1" applyFill="1" applyAlignment="1" applyProtection="1">
      <alignment horizontal="left"/>
      <protection hidden="1"/>
    </xf>
    <xf numFmtId="0" fontId="5" fillId="3" borderId="0" xfId="2" applyFill="1" applyAlignment="1" applyProtection="1">
      <alignment horizontal="left"/>
      <protection hidden="1"/>
    </xf>
    <xf numFmtId="0" fontId="5" fillId="3" borderId="476" xfId="2" applyFont="1" applyFill="1" applyBorder="1" applyAlignment="1" applyProtection="1">
      <alignment horizontal="center"/>
      <protection hidden="1"/>
    </xf>
    <xf numFmtId="0" fontId="5" fillId="3" borderId="477" xfId="2" applyFont="1" applyFill="1" applyBorder="1" applyAlignment="1" applyProtection="1">
      <alignment horizontal="center"/>
      <protection hidden="1"/>
    </xf>
    <xf numFmtId="0" fontId="5" fillId="3" borderId="478" xfId="2" applyFont="1" applyFill="1" applyBorder="1" applyAlignment="1" applyProtection="1">
      <alignment horizontal="center"/>
      <protection hidden="1"/>
    </xf>
    <xf numFmtId="0" fontId="15" fillId="0" borderId="0" xfId="3" applyFont="1" applyProtection="1">
      <alignment vertical="top"/>
      <protection hidden="1"/>
    </xf>
    <xf numFmtId="0" fontId="5" fillId="5" borderId="476" xfId="2" applyFont="1" applyFill="1" applyBorder="1" applyAlignment="1" applyProtection="1">
      <alignment horizontal="center"/>
      <protection locked="0"/>
    </xf>
    <xf numFmtId="0" fontId="5" fillId="5" borderId="477" xfId="2" applyFont="1" applyFill="1" applyBorder="1" applyAlignment="1" applyProtection="1">
      <alignment horizontal="center"/>
      <protection locked="0"/>
    </xf>
    <xf numFmtId="0" fontId="5" fillId="5" borderId="478" xfId="2" applyFont="1" applyFill="1" applyBorder="1" applyAlignment="1" applyProtection="1">
      <alignment horizontal="center"/>
      <protection locked="0"/>
    </xf>
    <xf numFmtId="0" fontId="265" fillId="42" borderId="123" xfId="413" applyFont="1" applyFill="1" applyBorder="1" applyAlignment="1" applyProtection="1"/>
    <xf numFmtId="0" fontId="265" fillId="42" borderId="0" xfId="413" applyFont="1" applyFill="1" applyBorder="1" applyAlignment="1" applyProtection="1"/>
    <xf numFmtId="0" fontId="265" fillId="42" borderId="301" xfId="413" applyFont="1" applyFill="1" applyBorder="1" applyAlignment="1" applyProtection="1"/>
    <xf numFmtId="0" fontId="5" fillId="3" borderId="630" xfId="2" applyFont="1" applyFill="1" applyBorder="1" applyAlignment="1" applyProtection="1">
      <alignment horizontal="center"/>
      <protection hidden="1"/>
    </xf>
    <xf numFmtId="0" fontId="5" fillId="3" borderId="632" xfId="2" applyFont="1" applyFill="1" applyBorder="1" applyAlignment="1" applyProtection="1">
      <alignment horizontal="center"/>
      <protection hidden="1"/>
    </xf>
    <xf numFmtId="2" fontId="5" fillId="0" borderId="630" xfId="413" applyNumberFormat="1" applyFont="1" applyBorder="1" applyAlignment="1" applyProtection="1">
      <alignment horizontal="center"/>
      <protection hidden="1"/>
    </xf>
    <xf numFmtId="2" fontId="5" fillId="0" borderId="632" xfId="413" applyNumberFormat="1" applyFont="1" applyBorder="1" applyAlignment="1" applyProtection="1">
      <alignment horizontal="center"/>
      <protection hidden="1"/>
    </xf>
    <xf numFmtId="0" fontId="116" fillId="42" borderId="154" xfId="413" applyFont="1" applyFill="1" applyBorder="1" applyAlignment="1" applyProtection="1">
      <alignment horizontal="center" vertical="center"/>
    </xf>
    <xf numFmtId="0" fontId="116" fillId="42" borderId="578" xfId="413" applyFont="1" applyFill="1" applyBorder="1" applyAlignment="1" applyProtection="1">
      <alignment horizontal="center" vertical="center"/>
    </xf>
    <xf numFmtId="0" fontId="5" fillId="3" borderId="123" xfId="413" applyFont="1" applyFill="1" applyBorder="1" applyAlignment="1" applyProtection="1">
      <protection hidden="1"/>
    </xf>
    <xf numFmtId="0" fontId="5" fillId="3" borderId="0" xfId="413" applyFont="1" applyFill="1" applyBorder="1" applyAlignment="1" applyProtection="1">
      <protection hidden="1"/>
    </xf>
    <xf numFmtId="0" fontId="5" fillId="3" borderId="301" xfId="413" applyFont="1" applyFill="1" applyBorder="1" applyAlignment="1" applyProtection="1">
      <protection hidden="1"/>
    </xf>
    <xf numFmtId="0" fontId="217" fillId="2" borderId="0" xfId="2" applyFont="1" applyFill="1" applyAlignment="1" applyProtection="1">
      <protection hidden="1"/>
    </xf>
    <xf numFmtId="0" fontId="217" fillId="3" borderId="475" xfId="2" applyFont="1" applyFill="1" applyBorder="1" applyAlignment="1" applyProtection="1">
      <alignment horizontal="left"/>
      <protection hidden="1"/>
    </xf>
    <xf numFmtId="0" fontId="44" fillId="3" borderId="515" xfId="413" applyFont="1" applyFill="1" applyBorder="1" applyAlignment="1" applyProtection="1">
      <alignment horizontal="left"/>
      <protection hidden="1"/>
    </xf>
    <xf numFmtId="0" fontId="261" fillId="3" borderId="543" xfId="2" applyFont="1" applyFill="1" applyBorder="1" applyAlignment="1" applyProtection="1">
      <alignment horizontal="left"/>
      <protection hidden="1"/>
    </xf>
    <xf numFmtId="0" fontId="261" fillId="3" borderId="530" xfId="2" applyFont="1" applyFill="1" applyBorder="1" applyAlignment="1" applyProtection="1">
      <alignment horizontal="left"/>
      <protection hidden="1"/>
    </xf>
    <xf numFmtId="0" fontId="51" fillId="4" borderId="476" xfId="413" applyFont="1" applyFill="1" applyBorder="1" applyAlignment="1" applyProtection="1">
      <alignment horizontal="left"/>
      <protection hidden="1"/>
    </xf>
    <xf numFmtId="0" fontId="5" fillId="3" borderId="605" xfId="2" applyFont="1" applyFill="1" applyBorder="1" applyAlignment="1" applyProtection="1">
      <alignment horizontal="left"/>
      <protection hidden="1"/>
    </xf>
    <xf numFmtId="0" fontId="5" fillId="3" borderId="604" xfId="2" applyFont="1" applyFill="1" applyBorder="1" applyAlignment="1" applyProtection="1">
      <alignment horizontal="left"/>
      <protection hidden="1"/>
    </xf>
    <xf numFmtId="0" fontId="5" fillId="3" borderId="606" xfId="2" applyFont="1" applyFill="1" applyBorder="1" applyAlignment="1" applyProtection="1">
      <alignment horizontal="left"/>
      <protection hidden="1"/>
    </xf>
    <xf numFmtId="0" fontId="217" fillId="3" borderId="0" xfId="419" applyFont="1" applyFill="1" applyAlignment="1" applyProtection="1">
      <alignment horizontal="left"/>
      <protection hidden="1"/>
    </xf>
    <xf numFmtId="0" fontId="5" fillId="3" borderId="494" xfId="413" applyFont="1" applyFill="1" applyBorder="1" applyAlignment="1" applyProtection="1">
      <protection hidden="1"/>
    </xf>
    <xf numFmtId="0" fontId="5" fillId="3" borderId="482" xfId="413" applyFont="1" applyFill="1" applyBorder="1" applyAlignment="1" applyProtection="1">
      <protection hidden="1"/>
    </xf>
    <xf numFmtId="0" fontId="5" fillId="3" borderId="493" xfId="413" applyFont="1" applyFill="1" applyBorder="1" applyAlignment="1" applyProtection="1">
      <protection hidden="1"/>
    </xf>
    <xf numFmtId="0" fontId="15" fillId="0" borderId="516" xfId="3" applyFont="1" applyBorder="1" applyAlignment="1" applyProtection="1">
      <alignment horizontal="left"/>
      <protection hidden="1"/>
    </xf>
    <xf numFmtId="0" fontId="15" fillId="0" borderId="734" xfId="3" applyFont="1" applyBorder="1" applyAlignment="1" applyProtection="1">
      <alignment horizontal="left"/>
      <protection hidden="1"/>
    </xf>
    <xf numFmtId="0" fontId="15" fillId="0" borderId="710" xfId="3" applyFont="1" applyBorder="1" applyAlignment="1" applyProtection="1">
      <alignment horizontal="left"/>
      <protection hidden="1"/>
    </xf>
    <xf numFmtId="0" fontId="5" fillId="3" borderId="446" xfId="426" applyFont="1" applyFill="1" applyBorder="1" applyAlignment="1" applyProtection="1">
      <protection hidden="1"/>
    </xf>
    <xf numFmtId="0" fontId="0" fillId="0" borderId="475" xfId="0" applyBorder="1" applyProtection="1">
      <protection hidden="1"/>
    </xf>
    <xf numFmtId="0" fontId="5" fillId="3" borderId="409" xfId="413" applyFont="1" applyFill="1" applyBorder="1" applyAlignment="1" applyProtection="1">
      <protection hidden="1"/>
    </xf>
    <xf numFmtId="0" fontId="5" fillId="3" borderId="342" xfId="413" applyFont="1" applyFill="1" applyBorder="1" applyAlignment="1" applyProtection="1">
      <protection hidden="1"/>
    </xf>
    <xf numFmtId="0" fontId="5" fillId="3" borderId="343" xfId="413" applyFont="1" applyFill="1" applyBorder="1" applyAlignment="1" applyProtection="1">
      <protection hidden="1"/>
    </xf>
    <xf numFmtId="0" fontId="51" fillId="4" borderId="342" xfId="413" applyFont="1" applyFill="1" applyBorder="1" applyAlignment="1" applyProtection="1">
      <alignment horizontal="center" vertical="center"/>
      <protection hidden="1"/>
    </xf>
    <xf numFmtId="0" fontId="15" fillId="0" borderId="342" xfId="3" applyFont="1" applyBorder="1" applyAlignment="1" applyProtection="1">
      <alignment horizontal="left" wrapText="1"/>
      <protection hidden="1"/>
    </xf>
    <xf numFmtId="0" fontId="51" fillId="4" borderId="0" xfId="413" applyFont="1" applyFill="1" applyBorder="1" applyAlignment="1" applyProtection="1">
      <alignment horizontal="center" vertical="top"/>
      <protection hidden="1"/>
    </xf>
    <xf numFmtId="0" fontId="5" fillId="14" borderId="0" xfId="2" applyFill="1" applyAlignment="1" applyProtection="1">
      <alignment horizontal="left"/>
      <protection hidden="1"/>
    </xf>
    <xf numFmtId="0" fontId="5" fillId="3" borderId="482" xfId="2" applyFill="1" applyBorder="1" applyAlignment="1" applyProtection="1">
      <alignment horizontal="left"/>
      <protection hidden="1"/>
    </xf>
    <xf numFmtId="0" fontId="217" fillId="4" borderId="0" xfId="413" applyFont="1" applyFill="1" applyAlignment="1" applyProtection="1">
      <protection hidden="1"/>
    </xf>
    <xf numFmtId="0" fontId="217" fillId="4" borderId="0" xfId="413" applyFont="1" applyFill="1" applyBorder="1" applyAlignment="1" applyProtection="1">
      <protection hidden="1"/>
    </xf>
    <xf numFmtId="2" fontId="5" fillId="45" borderId="511" xfId="425" applyNumberFormat="1" applyFont="1" applyFill="1" applyBorder="1" applyAlignment="1" applyProtection="1">
      <alignment horizontal="center" vertical="top"/>
      <protection hidden="1"/>
    </xf>
    <xf numFmtId="0" fontId="0" fillId="0" borderId="512" xfId="0" applyBorder="1" applyProtection="1">
      <protection hidden="1"/>
    </xf>
    <xf numFmtId="2" fontId="5" fillId="45" borderId="509" xfId="425" applyNumberFormat="1" applyFont="1" applyFill="1" applyBorder="1" applyAlignment="1" applyProtection="1">
      <alignment horizontal="center" vertical="top" wrapText="1"/>
      <protection hidden="1"/>
    </xf>
    <xf numFmtId="0" fontId="0" fillId="0" borderId="510" xfId="0" applyBorder="1" applyProtection="1">
      <protection hidden="1"/>
    </xf>
    <xf numFmtId="0" fontId="5" fillId="4" borderId="409" xfId="413" applyFont="1" applyFill="1" applyBorder="1" applyAlignment="1" applyProtection="1">
      <alignment horizontal="center"/>
      <protection hidden="1"/>
    </xf>
    <xf numFmtId="0" fontId="226" fillId="0" borderId="446" xfId="413" applyBorder="1" applyAlignment="1" applyProtection="1">
      <protection hidden="1"/>
    </xf>
    <xf numFmtId="0" fontId="226" fillId="0" borderId="446" xfId="413" applyBorder="1" applyProtection="1">
      <protection hidden="1"/>
    </xf>
    <xf numFmtId="0" fontId="5" fillId="4" borderId="148" xfId="413" applyFont="1" applyFill="1" applyBorder="1" applyAlignment="1" applyProtection="1">
      <alignment horizontal="center" vertical="center"/>
      <protection hidden="1"/>
    </xf>
    <xf numFmtId="0" fontId="5" fillId="4" borderId="0" xfId="413" applyFont="1" applyFill="1" applyBorder="1" applyAlignment="1" applyProtection="1">
      <alignment horizontal="center" vertical="center"/>
      <protection hidden="1"/>
    </xf>
    <xf numFmtId="0" fontId="5" fillId="5" borderId="496" xfId="425" applyFont="1" applyFill="1" applyBorder="1" applyAlignment="1" applyProtection="1">
      <alignment horizontal="center"/>
      <protection locked="0"/>
    </xf>
    <xf numFmtId="0" fontId="5" fillId="5" borderId="479" xfId="425" applyFont="1" applyFill="1" applyBorder="1" applyAlignment="1" applyProtection="1">
      <alignment horizontal="center"/>
      <protection locked="0"/>
    </xf>
    <xf numFmtId="0" fontId="5" fillId="13" borderId="481" xfId="413" applyFont="1" applyFill="1" applyBorder="1" applyAlignment="1" applyProtection="1">
      <alignment horizontal="center"/>
      <protection locked="0"/>
    </xf>
    <xf numFmtId="0" fontId="0" fillId="0" borderId="501" xfId="0" applyBorder="1" applyProtection="1">
      <protection locked="0"/>
    </xf>
    <xf numFmtId="164" fontId="5" fillId="45" borderId="496" xfId="425" applyNumberFormat="1" applyFont="1" applyFill="1" applyBorder="1" applyAlignment="1" applyProtection="1">
      <alignment horizontal="center"/>
      <protection hidden="1"/>
    </xf>
    <xf numFmtId="164" fontId="5" fillId="45" borderId="497" xfId="425" applyNumberFormat="1" applyFont="1" applyFill="1" applyBorder="1" applyAlignment="1" applyProtection="1">
      <alignment horizontal="center"/>
      <protection hidden="1"/>
    </xf>
    <xf numFmtId="0" fontId="5" fillId="14" borderId="476" xfId="413" applyFont="1" applyFill="1" applyBorder="1" applyAlignment="1" applyProtection="1">
      <alignment horizontal="left"/>
      <protection hidden="1"/>
    </xf>
    <xf numFmtId="0" fontId="5" fillId="14" borderId="478" xfId="413" applyFont="1" applyFill="1" applyBorder="1" applyAlignment="1" applyProtection="1">
      <alignment horizontal="left"/>
      <protection hidden="1"/>
    </xf>
    <xf numFmtId="2" fontId="5" fillId="14" borderId="476" xfId="426" applyNumberFormat="1" applyFont="1" applyFill="1" applyBorder="1" applyAlignment="1" applyProtection="1">
      <alignment horizontal="left"/>
      <protection hidden="1"/>
    </xf>
    <xf numFmtId="0" fontId="5" fillId="3" borderId="123" xfId="2" applyFill="1" applyBorder="1" applyAlignment="1" applyProtection="1">
      <alignment horizontal="left" vertical="top"/>
      <protection hidden="1"/>
    </xf>
    <xf numFmtId="0" fontId="0" fillId="0" borderId="0" xfId="0" applyProtection="1">
      <protection hidden="1"/>
    </xf>
    <xf numFmtId="0" fontId="5" fillId="4" borderId="0" xfId="15" applyFont="1" applyFill="1" applyAlignment="1" applyProtection="1">
      <alignment wrapText="1"/>
      <protection hidden="1"/>
    </xf>
    <xf numFmtId="0" fontId="5" fillId="3" borderId="0" xfId="2" applyFill="1" applyAlignment="1" applyProtection="1">
      <alignment horizontal="center" vertical="top" wrapText="1"/>
      <protection hidden="1"/>
    </xf>
    <xf numFmtId="0" fontId="254" fillId="3" borderId="0" xfId="420" applyFont="1" applyFill="1" applyAlignment="1" applyProtection="1">
      <alignment horizontal="left"/>
      <protection hidden="1"/>
    </xf>
    <xf numFmtId="0" fontId="254" fillId="3" borderId="301" xfId="420" applyFont="1" applyFill="1" applyBorder="1" applyAlignment="1" applyProtection="1">
      <alignment horizontal="left"/>
      <protection hidden="1"/>
    </xf>
    <xf numFmtId="0" fontId="68" fillId="3" borderId="0" xfId="420" applyFont="1" applyFill="1" applyBorder="1" applyAlignment="1" applyProtection="1">
      <alignment horizontal="right"/>
      <protection hidden="1"/>
    </xf>
    <xf numFmtId="0" fontId="68" fillId="3" borderId="301" xfId="420" applyFont="1" applyFill="1" applyBorder="1" applyAlignment="1" applyProtection="1">
      <alignment horizontal="right"/>
      <protection hidden="1"/>
    </xf>
    <xf numFmtId="0" fontId="5" fillId="3" borderId="0" xfId="413" applyFont="1" applyFill="1" applyBorder="1" applyAlignment="1" applyProtection="1">
      <alignment horizontal="right"/>
      <protection hidden="1"/>
    </xf>
    <xf numFmtId="0" fontId="5" fillId="3" borderId="301" xfId="413" applyFont="1" applyFill="1" applyBorder="1" applyAlignment="1" applyProtection="1">
      <alignment horizontal="right"/>
      <protection hidden="1"/>
    </xf>
    <xf numFmtId="2" fontId="5" fillId="0" borderId="476" xfId="413" applyNumberFormat="1" applyFont="1" applyBorder="1" applyAlignment="1" applyProtection="1">
      <alignment horizontal="center"/>
      <protection hidden="1"/>
    </xf>
    <xf numFmtId="2" fontId="5" fillId="0" borderId="478" xfId="413" applyNumberFormat="1" applyFont="1" applyBorder="1" applyAlignment="1" applyProtection="1">
      <alignment horizontal="center"/>
      <protection hidden="1"/>
    </xf>
    <xf numFmtId="0" fontId="5" fillId="3" borderId="123" xfId="2" applyFill="1" applyBorder="1" applyAlignment="1" applyProtection="1">
      <alignment horizontal="center" vertical="top" wrapText="1"/>
      <protection hidden="1"/>
    </xf>
    <xf numFmtId="0" fontId="5" fillId="3" borderId="301" xfId="2" applyFill="1" applyBorder="1" applyAlignment="1" applyProtection="1">
      <alignment horizontal="center" vertical="top" wrapText="1"/>
      <protection hidden="1"/>
    </xf>
    <xf numFmtId="4" fontId="5" fillId="0" borderId="476" xfId="413" applyNumberFormat="1" applyFont="1" applyBorder="1" applyAlignment="1" applyProtection="1">
      <alignment horizontal="center"/>
      <protection hidden="1"/>
    </xf>
    <xf numFmtId="4" fontId="5" fillId="0" borderId="478" xfId="413" applyNumberFormat="1" applyFont="1" applyBorder="1" applyAlignment="1" applyProtection="1">
      <alignment horizontal="center"/>
      <protection hidden="1"/>
    </xf>
    <xf numFmtId="0" fontId="5" fillId="4" borderId="409" xfId="413" applyFont="1" applyFill="1" applyBorder="1" applyAlignment="1" applyProtection="1">
      <alignment horizontal="left"/>
      <protection hidden="1"/>
    </xf>
    <xf numFmtId="0" fontId="0" fillId="0" borderId="342" xfId="0" applyBorder="1" applyProtection="1">
      <protection hidden="1"/>
    </xf>
    <xf numFmtId="0" fontId="5" fillId="5" borderId="476" xfId="413" applyNumberFormat="1" applyFont="1" applyFill="1" applyBorder="1" applyAlignment="1" applyProtection="1">
      <alignment horizontal="center"/>
      <protection locked="0"/>
    </xf>
    <xf numFmtId="0" fontId="5" fillId="5" borderId="478" xfId="413" applyNumberFormat="1" applyFont="1" applyFill="1" applyBorder="1" applyAlignment="1" applyProtection="1">
      <alignment horizontal="center"/>
      <protection locked="0"/>
    </xf>
    <xf numFmtId="0" fontId="5" fillId="4" borderId="446" xfId="413" applyFont="1" applyFill="1" applyBorder="1" applyAlignment="1" applyProtection="1">
      <alignment horizontal="left"/>
      <protection hidden="1"/>
    </xf>
    <xf numFmtId="0" fontId="217" fillId="3" borderId="0" xfId="2" applyFont="1" applyFill="1" applyBorder="1" applyAlignment="1" applyProtection="1">
      <alignment horizontal="left"/>
      <protection hidden="1"/>
    </xf>
    <xf numFmtId="0" fontId="217" fillId="3" borderId="301" xfId="2" applyFont="1" applyFill="1" applyBorder="1" applyAlignment="1" applyProtection="1">
      <alignment horizontal="left"/>
      <protection hidden="1"/>
    </xf>
    <xf numFmtId="0" fontId="26" fillId="0" borderId="475" xfId="413" applyFont="1" applyBorder="1" applyAlignment="1" applyProtection="1">
      <alignment horizontal="left"/>
      <protection hidden="1"/>
    </xf>
    <xf numFmtId="0" fontId="15" fillId="0" borderId="178" xfId="3" applyFont="1" applyBorder="1" applyAlignment="1" applyProtection="1">
      <alignment horizontal="center" vertical="center"/>
      <protection hidden="1"/>
    </xf>
    <xf numFmtId="0" fontId="15" fillId="0" borderId="514" xfId="3" applyFont="1" applyBorder="1" applyAlignment="1" applyProtection="1">
      <alignment horizontal="center" vertical="center"/>
      <protection hidden="1"/>
    </xf>
    <xf numFmtId="0" fontId="51" fillId="4" borderId="342" xfId="413" applyFont="1" applyFill="1" applyBorder="1" applyAlignment="1" applyProtection="1">
      <alignment horizontal="left" vertical="center"/>
      <protection hidden="1"/>
    </xf>
    <xf numFmtId="0" fontId="51" fillId="4" borderId="758" xfId="413" applyFont="1" applyFill="1" applyBorder="1" applyAlignment="1" applyProtection="1">
      <alignment horizontal="left" vertical="center"/>
      <protection hidden="1"/>
    </xf>
    <xf numFmtId="0" fontId="217" fillId="14" borderId="0" xfId="119" applyFont="1" applyFill="1" applyAlignment="1" applyProtection="1">
      <protection hidden="1"/>
    </xf>
    <xf numFmtId="0" fontId="26" fillId="14" borderId="0" xfId="119" applyFont="1" applyFill="1" applyAlignment="1" applyProtection="1">
      <alignment horizontal="right"/>
      <protection hidden="1"/>
    </xf>
    <xf numFmtId="0" fontId="26" fillId="14" borderId="301" xfId="119" applyFont="1" applyFill="1" applyBorder="1" applyAlignment="1" applyProtection="1">
      <alignment horizontal="right"/>
      <protection hidden="1"/>
    </xf>
    <xf numFmtId="0" fontId="5" fillId="14" borderId="476" xfId="417" applyFont="1" applyFill="1" applyBorder="1" applyAlignment="1" applyProtection="1">
      <alignment horizontal="center" wrapText="1"/>
      <protection hidden="1"/>
    </xf>
    <xf numFmtId="0" fontId="5" fillId="14" borderId="478" xfId="417" applyFont="1" applyFill="1" applyBorder="1" applyAlignment="1" applyProtection="1">
      <alignment horizontal="center" wrapText="1"/>
      <protection hidden="1"/>
    </xf>
    <xf numFmtId="0" fontId="5" fillId="14" borderId="476" xfId="2" applyFill="1" applyBorder="1" applyAlignment="1" applyProtection="1">
      <alignment horizontal="center" wrapText="1"/>
      <protection hidden="1"/>
    </xf>
    <xf numFmtId="0" fontId="5" fillId="14" borderId="478" xfId="2" applyFill="1" applyBorder="1" applyAlignment="1" applyProtection="1">
      <alignment horizontal="center" wrapText="1"/>
      <protection hidden="1"/>
    </xf>
    <xf numFmtId="0" fontId="5" fillId="14" borderId="477" xfId="2" applyFill="1" applyBorder="1" applyAlignment="1" applyProtection="1">
      <alignment horizontal="center" wrapText="1"/>
      <protection hidden="1"/>
    </xf>
    <xf numFmtId="0" fontId="5" fillId="2" borderId="476" xfId="2" applyFont="1" applyFill="1" applyBorder="1" applyAlignment="1" applyProtection="1">
      <alignment horizontal="center"/>
      <protection hidden="1"/>
    </xf>
    <xf numFmtId="0" fontId="5" fillId="2" borderId="478" xfId="2" applyFont="1" applyFill="1" applyBorder="1" applyAlignment="1" applyProtection="1">
      <alignment horizontal="center"/>
      <protection hidden="1"/>
    </xf>
    <xf numFmtId="0" fontId="5" fillId="14" borderId="476" xfId="2" applyFill="1" applyBorder="1" applyAlignment="1" applyProtection="1">
      <alignment horizontal="left" wrapText="1"/>
      <protection hidden="1"/>
    </xf>
    <xf numFmtId="0" fontId="5" fillId="14" borderId="478" xfId="2" applyFill="1" applyBorder="1" applyAlignment="1" applyProtection="1">
      <alignment horizontal="left" wrapText="1"/>
      <protection hidden="1"/>
    </xf>
    <xf numFmtId="0" fontId="5" fillId="3" borderId="476" xfId="424" applyFill="1" applyBorder="1" applyAlignment="1" applyProtection="1">
      <alignment horizontal="left"/>
      <protection hidden="1"/>
    </xf>
    <xf numFmtId="0" fontId="5" fillId="3" borderId="478" xfId="424" applyFill="1" applyBorder="1" applyAlignment="1" applyProtection="1">
      <alignment horizontal="left"/>
      <protection hidden="1"/>
    </xf>
    <xf numFmtId="0" fontId="5" fillId="4" borderId="414" xfId="413" applyFont="1" applyFill="1" applyBorder="1" applyAlignment="1" applyProtection="1">
      <alignment horizontal="center"/>
      <protection hidden="1"/>
    </xf>
    <xf numFmtId="0" fontId="0" fillId="0" borderId="415" xfId="0" applyBorder="1" applyProtection="1">
      <protection hidden="1"/>
    </xf>
    <xf numFmtId="0" fontId="51" fillId="3" borderId="342" xfId="424" applyFont="1" applyFill="1" applyBorder="1" applyAlignment="1" applyProtection="1">
      <alignment horizontal="center" vertical="center" wrapText="1"/>
      <protection hidden="1"/>
    </xf>
    <xf numFmtId="0" fontId="51" fillId="3" borderId="0" xfId="424" applyFont="1" applyFill="1" applyBorder="1" applyAlignment="1" applyProtection="1">
      <alignment horizontal="center" vertical="center" wrapText="1"/>
      <protection hidden="1"/>
    </xf>
    <xf numFmtId="0" fontId="5" fillId="14" borderId="123" xfId="2" applyFont="1" applyFill="1" applyBorder="1" applyAlignment="1" applyProtection="1">
      <alignment horizontal="left" wrapText="1"/>
      <protection hidden="1"/>
    </xf>
    <xf numFmtId="0" fontId="0" fillId="0" borderId="123" xfId="0" applyBorder="1" applyProtection="1">
      <protection hidden="1"/>
    </xf>
    <xf numFmtId="0" fontId="5" fillId="6" borderId="476" xfId="2" applyFont="1" applyFill="1" applyBorder="1" applyAlignment="1" applyProtection="1">
      <alignment horizontal="center"/>
      <protection locked="0"/>
    </xf>
    <xf numFmtId="0" fontId="5" fillId="6" borderId="478" xfId="2" applyFont="1" applyFill="1" applyBorder="1" applyAlignment="1" applyProtection="1">
      <alignment horizontal="center"/>
      <protection locked="0"/>
    </xf>
    <xf numFmtId="172" fontId="5" fillId="2" borderId="476" xfId="2" applyNumberFormat="1" applyFont="1" applyFill="1" applyBorder="1" applyAlignment="1" applyProtection="1">
      <alignment horizontal="center"/>
      <protection hidden="1"/>
    </xf>
    <xf numFmtId="172" fontId="5" fillId="2" borderId="478" xfId="2" applyNumberFormat="1" applyFont="1" applyFill="1" applyBorder="1" applyAlignment="1" applyProtection="1">
      <alignment horizontal="center"/>
      <protection hidden="1"/>
    </xf>
    <xf numFmtId="2" fontId="5" fillId="2" borderId="476" xfId="2" applyNumberFormat="1" applyFont="1" applyFill="1" applyBorder="1" applyAlignment="1" applyProtection="1">
      <alignment horizontal="center"/>
      <protection hidden="1"/>
    </xf>
    <xf numFmtId="0" fontId="5" fillId="4" borderId="417" xfId="413" applyFont="1" applyFill="1" applyBorder="1" applyAlignment="1" applyProtection="1">
      <alignment horizontal="center"/>
      <protection hidden="1"/>
    </xf>
    <xf numFmtId="0" fontId="0" fillId="0" borderId="418" xfId="0" applyBorder="1" applyProtection="1">
      <protection hidden="1"/>
    </xf>
    <xf numFmtId="0" fontId="20" fillId="4" borderId="419" xfId="424" applyFont="1" applyFill="1" applyBorder="1" applyAlignment="1" applyProtection="1">
      <alignment horizontal="center"/>
      <protection hidden="1"/>
    </xf>
    <xf numFmtId="0" fontId="0" fillId="0" borderId="420" xfId="0" applyBorder="1" applyProtection="1">
      <protection hidden="1"/>
    </xf>
    <xf numFmtId="164" fontId="59" fillId="4" borderId="419" xfId="413" applyNumberFormat="1" applyFont="1" applyFill="1" applyBorder="1" applyAlignment="1" applyProtection="1">
      <alignment horizontal="center"/>
      <protection hidden="1"/>
    </xf>
    <xf numFmtId="0" fontId="5" fillId="3" borderId="409" xfId="424" applyFill="1" applyBorder="1" applyAlignment="1" applyProtection="1">
      <alignment horizontal="left"/>
      <protection hidden="1"/>
    </xf>
    <xf numFmtId="0" fontId="5" fillId="3" borderId="343" xfId="424" applyFill="1" applyBorder="1" applyAlignment="1" applyProtection="1">
      <alignment horizontal="left"/>
      <protection hidden="1"/>
    </xf>
    <xf numFmtId="0" fontId="44" fillId="65" borderId="476" xfId="421" applyFont="1" applyFill="1" applyBorder="1" applyAlignment="1" applyProtection="1">
      <alignment horizontal="center"/>
      <protection hidden="1"/>
    </xf>
    <xf numFmtId="0" fontId="51" fillId="4" borderId="641" xfId="288" applyFont="1" applyFill="1" applyBorder="1" applyAlignment="1" applyProtection="1">
      <alignment horizontal="left" vertical="center" wrapText="1"/>
      <protection hidden="1"/>
    </xf>
    <xf numFmtId="0" fontId="51" fillId="4" borderId="0" xfId="288" applyFont="1" applyFill="1" applyBorder="1" applyAlignment="1" applyProtection="1">
      <alignment horizontal="left" vertical="center" wrapText="1"/>
      <protection hidden="1"/>
    </xf>
    <xf numFmtId="0" fontId="5" fillId="3" borderId="505" xfId="2" applyFont="1" applyFill="1" applyBorder="1" applyAlignment="1" applyProtection="1">
      <alignment horizontal="left" wrapText="1"/>
      <protection hidden="1"/>
    </xf>
    <xf numFmtId="0" fontId="0" fillId="0" borderId="506" xfId="0" applyBorder="1" applyProtection="1">
      <protection hidden="1"/>
    </xf>
    <xf numFmtId="0" fontId="0" fillId="0" borderId="507" xfId="0" applyBorder="1" applyProtection="1">
      <protection hidden="1"/>
    </xf>
    <xf numFmtId="0" fontId="5" fillId="3" borderId="123" xfId="2" applyFill="1" applyBorder="1" applyAlignment="1" applyProtection="1">
      <alignment horizontal="left" vertical="center" wrapText="1"/>
      <protection hidden="1"/>
    </xf>
    <xf numFmtId="0" fontId="5" fillId="3" borderId="0" xfId="2" applyFill="1" applyBorder="1" applyAlignment="1" applyProtection="1">
      <alignment horizontal="left" vertical="center" wrapText="1"/>
      <protection hidden="1"/>
    </xf>
    <xf numFmtId="0" fontId="5" fillId="4" borderId="475" xfId="413" applyFont="1" applyFill="1" applyBorder="1" applyAlignment="1" applyProtection="1">
      <protection hidden="1"/>
    </xf>
    <xf numFmtId="0" fontId="5" fillId="14" borderId="123" xfId="413" applyFont="1" applyFill="1" applyBorder="1" applyAlignment="1" applyProtection="1">
      <alignment horizontal="left" vertical="center" textRotation="90" wrapText="1"/>
      <protection hidden="1"/>
    </xf>
    <xf numFmtId="0" fontId="5" fillId="4" borderId="123" xfId="413" applyFont="1" applyFill="1" applyBorder="1" applyAlignment="1" applyProtection="1">
      <alignment horizontal="left" vertical="center" wrapText="1"/>
      <protection hidden="1"/>
    </xf>
    <xf numFmtId="0" fontId="5" fillId="4" borderId="0" xfId="413" applyFont="1" applyFill="1" applyBorder="1" applyAlignment="1" applyProtection="1">
      <alignment horizontal="left" vertical="center" wrapText="1"/>
      <protection hidden="1"/>
    </xf>
    <xf numFmtId="0" fontId="5" fillId="14" borderId="409" xfId="413" applyFont="1" applyFill="1" applyBorder="1" applyAlignment="1" applyProtection="1">
      <alignment horizontal="left"/>
      <protection hidden="1"/>
    </xf>
    <xf numFmtId="0" fontId="5" fillId="14" borderId="123" xfId="413" applyFont="1" applyFill="1" applyBorder="1" applyAlignment="1" applyProtection="1">
      <alignment horizontal="left"/>
      <protection hidden="1"/>
    </xf>
    <xf numFmtId="0" fontId="0" fillId="0" borderId="301" xfId="0" applyBorder="1" applyProtection="1">
      <protection hidden="1"/>
    </xf>
    <xf numFmtId="0" fontId="5" fillId="14" borderId="446" xfId="413" applyFont="1" applyFill="1" applyBorder="1" applyAlignment="1" applyProtection="1">
      <alignment horizontal="left"/>
      <protection hidden="1"/>
    </xf>
    <xf numFmtId="0" fontId="47" fillId="3" borderId="508" xfId="2" applyFont="1" applyFill="1" applyBorder="1" applyAlignment="1" applyProtection="1">
      <alignment horizontal="center" vertical="top" wrapText="1"/>
      <protection hidden="1"/>
    </xf>
    <xf numFmtId="0" fontId="0" fillId="0" borderId="508" xfId="0" applyBorder="1" applyProtection="1">
      <protection hidden="1"/>
    </xf>
    <xf numFmtId="0" fontId="5" fillId="3" borderId="492" xfId="424" applyFill="1" applyBorder="1" applyAlignment="1" applyProtection="1">
      <alignment horizontal="left"/>
      <protection hidden="1"/>
    </xf>
    <xf numFmtId="0" fontId="5" fillId="3" borderId="493" xfId="424" applyFill="1" applyBorder="1" applyAlignment="1" applyProtection="1">
      <alignment horizontal="left"/>
      <protection hidden="1"/>
    </xf>
    <xf numFmtId="0" fontId="44" fillId="4" borderId="411" xfId="422" applyFont="1" applyFill="1" applyBorder="1" applyAlignment="1" applyProtection="1">
      <alignment horizontal="center"/>
      <protection hidden="1"/>
    </xf>
    <xf numFmtId="0" fontId="0" fillId="0" borderId="412" xfId="0" applyBorder="1" applyProtection="1">
      <protection hidden="1"/>
    </xf>
    <xf numFmtId="0" fontId="5" fillId="3" borderId="543" xfId="2" applyFill="1" applyBorder="1" applyAlignment="1" applyProtection="1">
      <alignment horizontal="left"/>
      <protection hidden="1"/>
    </xf>
    <xf numFmtId="0" fontId="5" fillId="3" borderId="531" xfId="2" applyFill="1" applyBorder="1" applyAlignment="1" applyProtection="1">
      <alignment horizontal="left"/>
      <protection hidden="1"/>
    </xf>
    <xf numFmtId="0" fontId="5" fillId="3" borderId="530" xfId="2" applyFill="1" applyBorder="1" applyAlignment="1" applyProtection="1">
      <alignment horizontal="left"/>
      <protection hidden="1"/>
    </xf>
    <xf numFmtId="1" fontId="5" fillId="3" borderId="543" xfId="413" applyNumberFormat="1" applyFont="1" applyFill="1" applyBorder="1" applyAlignment="1" applyProtection="1">
      <alignment horizontal="left"/>
      <protection hidden="1"/>
    </xf>
    <xf numFmtId="1" fontId="5" fillId="3" borderId="531" xfId="413" applyNumberFormat="1" applyFont="1" applyFill="1" applyBorder="1" applyAlignment="1" applyProtection="1">
      <alignment horizontal="left"/>
      <protection hidden="1"/>
    </xf>
    <xf numFmtId="1" fontId="5" fillId="3" borderId="530" xfId="413" applyNumberFormat="1" applyFont="1" applyFill="1" applyBorder="1" applyAlignment="1" applyProtection="1">
      <alignment horizontal="left"/>
      <protection hidden="1"/>
    </xf>
    <xf numFmtId="0" fontId="20" fillId="3" borderId="123" xfId="2" applyFont="1" applyFill="1" applyBorder="1" applyAlignment="1" applyProtection="1">
      <alignment horizontal="right"/>
      <protection hidden="1"/>
    </xf>
    <xf numFmtId="0" fontId="20" fillId="3" borderId="0" xfId="2" applyFont="1" applyFill="1" applyBorder="1" applyAlignment="1" applyProtection="1">
      <alignment horizontal="right"/>
      <protection hidden="1"/>
    </xf>
    <xf numFmtId="0" fontId="20" fillId="3" borderId="301" xfId="2" applyFont="1" applyFill="1" applyBorder="1" applyAlignment="1" applyProtection="1">
      <alignment horizontal="right"/>
      <protection hidden="1"/>
    </xf>
    <xf numFmtId="2" fontId="5" fillId="45" borderId="341" xfId="425" applyNumberFormat="1" applyFont="1" applyFill="1" applyBorder="1" applyAlignment="1" applyProtection="1">
      <alignment horizontal="center" vertical="top"/>
      <protection hidden="1"/>
    </xf>
    <xf numFmtId="2" fontId="5" fillId="45" borderId="399" xfId="425" applyNumberFormat="1" applyFont="1" applyFill="1" applyBorder="1" applyAlignment="1" applyProtection="1">
      <alignment horizontal="center" vertical="top"/>
      <protection hidden="1"/>
    </xf>
    <xf numFmtId="0" fontId="0" fillId="0" borderId="479" xfId="0" applyBorder="1" applyProtection="1">
      <protection locked="0"/>
    </xf>
    <xf numFmtId="0" fontId="0" fillId="0" borderId="480" xfId="0" applyBorder="1" applyProtection="1">
      <protection locked="0"/>
    </xf>
    <xf numFmtId="164" fontId="5" fillId="45" borderId="498" xfId="425" applyNumberFormat="1" applyFont="1" applyFill="1" applyBorder="1" applyAlignment="1" applyProtection="1">
      <alignment horizontal="center"/>
      <protection hidden="1"/>
    </xf>
    <xf numFmtId="0" fontId="0" fillId="0" borderId="497" xfId="0" applyBorder="1" applyProtection="1">
      <protection hidden="1"/>
    </xf>
    <xf numFmtId="0" fontId="15" fillId="0" borderId="0" xfId="3" applyFont="1" applyAlignment="1" applyProtection="1">
      <alignment horizontal="left"/>
      <protection hidden="1"/>
    </xf>
    <xf numFmtId="0" fontId="44" fillId="4" borderId="0" xfId="2" applyFont="1" applyFill="1" applyAlignment="1" applyProtection="1">
      <alignment horizontal="left"/>
      <protection hidden="1"/>
    </xf>
    <xf numFmtId="0" fontId="325" fillId="2" borderId="734" xfId="2" applyFont="1" applyFill="1" applyBorder="1" applyAlignment="1" applyProtection="1">
      <alignment horizontal="left"/>
      <protection hidden="1"/>
    </xf>
    <xf numFmtId="0" fontId="15" fillId="0" borderId="738" xfId="3" applyFont="1" applyBorder="1" applyAlignment="1" applyProtection="1">
      <alignment horizontal="left" vertical="center"/>
      <protection hidden="1"/>
    </xf>
    <xf numFmtId="0" fontId="15" fillId="0" borderId="734" xfId="3" applyFont="1" applyBorder="1" applyAlignment="1" applyProtection="1">
      <alignment horizontal="left" vertical="center"/>
      <protection hidden="1"/>
    </xf>
    <xf numFmtId="0" fontId="1" fillId="2" borderId="342" xfId="2" applyFont="1" applyFill="1" applyBorder="1" applyAlignment="1" applyProtection="1">
      <alignment horizontal="left"/>
      <protection hidden="1"/>
    </xf>
    <xf numFmtId="0" fontId="15" fillId="0" borderId="342" xfId="3" applyFont="1" applyBorder="1" applyProtection="1">
      <alignment vertical="top"/>
      <protection hidden="1"/>
    </xf>
    <xf numFmtId="1" fontId="5" fillId="45" borderId="486" xfId="423" applyNumberFormat="1" applyFont="1" applyFill="1" applyBorder="1" applyAlignment="1" applyProtection="1">
      <alignment horizontal="left"/>
      <protection hidden="1"/>
    </xf>
    <xf numFmtId="1" fontId="5" fillId="45" borderId="487" xfId="423" applyNumberFormat="1" applyFont="1" applyFill="1" applyBorder="1" applyAlignment="1" applyProtection="1">
      <alignment horizontal="left"/>
      <protection hidden="1"/>
    </xf>
    <xf numFmtId="1" fontId="5" fillId="45" borderId="488" xfId="423" applyNumberFormat="1" applyFont="1" applyFill="1" applyBorder="1" applyAlignment="1" applyProtection="1">
      <alignment horizontal="left"/>
      <protection hidden="1"/>
    </xf>
    <xf numFmtId="1" fontId="5" fillId="3" borderId="483" xfId="1" applyNumberFormat="1" applyFont="1" applyFill="1" applyBorder="1" applyAlignment="1" applyProtection="1">
      <alignment horizontal="left"/>
      <protection hidden="1"/>
    </xf>
    <xf numFmtId="1" fontId="5" fillId="3" borderId="484" xfId="1" applyNumberFormat="1" applyFont="1" applyFill="1" applyBorder="1" applyAlignment="1" applyProtection="1">
      <alignment horizontal="left"/>
      <protection hidden="1"/>
    </xf>
    <xf numFmtId="1" fontId="5" fillId="3" borderId="485" xfId="1" applyNumberFormat="1" applyFont="1" applyFill="1" applyBorder="1" applyAlignment="1" applyProtection="1">
      <alignment horizontal="left"/>
      <protection hidden="1"/>
    </xf>
    <xf numFmtId="0" fontId="26" fillId="3" borderId="0" xfId="413" applyFont="1" applyFill="1" applyAlignment="1" applyProtection="1">
      <alignment horizontal="left"/>
      <protection hidden="1"/>
    </xf>
    <xf numFmtId="0" fontId="6" fillId="3" borderId="0" xfId="2" applyFont="1" applyFill="1" applyAlignment="1" applyProtection="1">
      <alignment horizontal="center"/>
      <protection hidden="1"/>
    </xf>
    <xf numFmtId="0" fontId="217" fillId="3" borderId="482" xfId="424" applyFont="1" applyFill="1" applyBorder="1" applyAlignment="1" applyProtection="1">
      <alignment horizontal="left"/>
      <protection hidden="1"/>
    </xf>
    <xf numFmtId="164" fontId="59" fillId="4" borderId="476" xfId="413" applyNumberFormat="1" applyFont="1" applyFill="1" applyBorder="1" applyAlignment="1" applyProtection="1">
      <alignment horizontal="center"/>
      <protection hidden="1"/>
    </xf>
    <xf numFmtId="0" fontId="51" fillId="4" borderId="123" xfId="424" applyFont="1" applyFill="1" applyBorder="1" applyAlignment="1" applyProtection="1">
      <alignment horizontal="left" vertical="top" wrapText="1"/>
      <protection hidden="1"/>
    </xf>
    <xf numFmtId="1" fontId="5" fillId="3" borderId="476" xfId="1" applyNumberFormat="1" applyFont="1" applyFill="1" applyBorder="1" applyAlignment="1" applyProtection="1">
      <alignment horizontal="left"/>
      <protection hidden="1"/>
    </xf>
    <xf numFmtId="1" fontId="5" fillId="3" borderId="477" xfId="1" applyNumberFormat="1" applyFont="1" applyFill="1" applyBorder="1" applyAlignment="1" applyProtection="1">
      <alignment horizontal="left"/>
      <protection hidden="1"/>
    </xf>
    <xf numFmtId="0" fontId="36" fillId="3" borderId="477" xfId="2" applyFont="1" applyFill="1" applyBorder="1" applyAlignment="1" applyProtection="1">
      <alignment horizontal="left"/>
      <protection hidden="1"/>
    </xf>
    <xf numFmtId="0" fontId="36" fillId="3" borderId="478" xfId="2" applyFont="1" applyFill="1" applyBorder="1" applyAlignment="1" applyProtection="1">
      <alignment horizontal="left"/>
      <protection hidden="1"/>
    </xf>
    <xf numFmtId="0" fontId="5" fillId="3" borderId="403" xfId="2" applyFont="1" applyFill="1" applyBorder="1" applyAlignment="1" applyProtection="1">
      <alignment horizontal="left" vertical="center" textRotation="90" wrapText="1"/>
      <protection hidden="1"/>
    </xf>
    <xf numFmtId="1" fontId="5" fillId="3" borderId="489" xfId="1" applyNumberFormat="1" applyFont="1" applyFill="1" applyBorder="1" applyAlignment="1" applyProtection="1">
      <alignment horizontal="left"/>
      <protection hidden="1"/>
    </xf>
    <xf numFmtId="1" fontId="5" fillId="3" borderId="490" xfId="1" applyNumberFormat="1" applyFont="1" applyFill="1" applyBorder="1" applyAlignment="1" applyProtection="1">
      <alignment horizontal="left"/>
      <protection hidden="1"/>
    </xf>
    <xf numFmtId="1" fontId="5" fillId="3" borderId="491" xfId="1" applyNumberFormat="1" applyFont="1" applyFill="1" applyBorder="1" applyAlignment="1" applyProtection="1">
      <alignment horizontal="left"/>
      <protection hidden="1"/>
    </xf>
    <xf numFmtId="0" fontId="5" fillId="0" borderId="476" xfId="413" applyFont="1" applyBorder="1" applyAlignment="1" applyProtection="1">
      <alignment horizontal="left"/>
      <protection hidden="1"/>
    </xf>
    <xf numFmtId="0" fontId="5" fillId="14" borderId="342" xfId="413" applyFont="1" applyFill="1" applyBorder="1" applyAlignment="1" applyProtection="1">
      <alignment horizontal="right" vertical="top"/>
      <protection hidden="1"/>
    </xf>
    <xf numFmtId="0" fontId="15" fillId="0" borderId="342" xfId="3" applyFont="1" applyBorder="1" applyAlignment="1" applyProtection="1">
      <alignment horizontal="left"/>
      <protection hidden="1"/>
    </xf>
    <xf numFmtId="0" fontId="308" fillId="12" borderId="476" xfId="413" applyFont="1" applyFill="1" applyBorder="1" applyAlignment="1" applyProtection="1">
      <alignment horizontal="center"/>
      <protection hidden="1"/>
    </xf>
    <xf numFmtId="0" fontId="308" fillId="0" borderId="478" xfId="0" applyFont="1" applyBorder="1" applyProtection="1">
      <protection hidden="1"/>
    </xf>
    <xf numFmtId="0" fontId="51" fillId="12" borderId="476" xfId="413" applyFont="1" applyFill="1" applyBorder="1" applyAlignment="1" applyProtection="1">
      <alignment horizontal="center"/>
      <protection hidden="1"/>
    </xf>
    <xf numFmtId="0" fontId="217" fillId="3" borderId="0" xfId="2" applyFont="1" applyFill="1" applyAlignment="1" applyProtection="1">
      <protection hidden="1"/>
    </xf>
    <xf numFmtId="0" fontId="5" fillId="3" borderId="409" xfId="426" applyFont="1" applyFill="1" applyBorder="1" applyAlignment="1" applyProtection="1">
      <protection hidden="1"/>
    </xf>
    <xf numFmtId="0" fontId="5" fillId="3" borderId="342" xfId="426" applyFont="1" applyFill="1" applyBorder="1" applyAlignment="1" applyProtection="1">
      <protection hidden="1"/>
    </xf>
    <xf numFmtId="0" fontId="5" fillId="3" borderId="343" xfId="426" applyFont="1" applyFill="1" applyBorder="1" applyAlignment="1" applyProtection="1">
      <protection hidden="1"/>
    </xf>
    <xf numFmtId="0" fontId="26" fillId="3" borderId="409" xfId="413" applyFont="1" applyFill="1" applyBorder="1" applyAlignment="1" applyProtection="1">
      <protection hidden="1"/>
    </xf>
    <xf numFmtId="0" fontId="26" fillId="3" borderId="342" xfId="413" applyFont="1" applyFill="1" applyBorder="1" applyAlignment="1" applyProtection="1">
      <protection hidden="1"/>
    </xf>
    <xf numFmtId="0" fontId="26" fillId="3" borderId="343" xfId="413" applyFont="1" applyFill="1" applyBorder="1" applyAlignment="1" applyProtection="1">
      <protection hidden="1"/>
    </xf>
    <xf numFmtId="0" fontId="116" fillId="12" borderId="409" xfId="413" applyFont="1" applyFill="1" applyBorder="1" applyAlignment="1" applyProtection="1"/>
    <xf numFmtId="0" fontId="116" fillId="12" borderId="342" xfId="413" applyFont="1" applyFill="1" applyBorder="1" applyAlignment="1" applyProtection="1"/>
    <xf numFmtId="0" fontId="116" fillId="12" borderId="343" xfId="413" applyFont="1" applyFill="1" applyBorder="1" applyAlignment="1" applyProtection="1"/>
    <xf numFmtId="0" fontId="116" fillId="12" borderId="494" xfId="413" applyFont="1" applyFill="1" applyBorder="1" applyAlignment="1" applyProtection="1"/>
    <xf numFmtId="0" fontId="116" fillId="12" borderId="482" xfId="413" applyFont="1" applyFill="1" applyBorder="1" applyAlignment="1" applyProtection="1"/>
    <xf numFmtId="0" fontId="116" fillId="12" borderId="493" xfId="413" applyFont="1" applyFill="1" applyBorder="1" applyAlignment="1" applyProtection="1"/>
    <xf numFmtId="164" fontId="5" fillId="3" borderId="494" xfId="2" applyNumberFormat="1" applyFill="1" applyBorder="1" applyAlignment="1" applyProtection="1">
      <alignment horizontal="right"/>
      <protection hidden="1"/>
    </xf>
    <xf numFmtId="164" fontId="5" fillId="3" borderId="482" xfId="2" applyNumberFormat="1" applyFill="1" applyBorder="1" applyAlignment="1" applyProtection="1">
      <alignment horizontal="right"/>
      <protection hidden="1"/>
    </xf>
    <xf numFmtId="0" fontId="5" fillId="0" borderId="123" xfId="413" applyFont="1" applyBorder="1" applyAlignment="1" applyProtection="1">
      <alignment horizontal="right"/>
      <protection hidden="1"/>
    </xf>
    <xf numFmtId="0" fontId="5" fillId="0" borderId="0" xfId="413" applyFont="1" applyBorder="1" applyAlignment="1" applyProtection="1">
      <alignment horizontal="right"/>
      <protection hidden="1"/>
    </xf>
    <xf numFmtId="0" fontId="2" fillId="3" borderId="0" xfId="2" applyFont="1" applyFill="1" applyAlignment="1" applyProtection="1">
      <alignment horizontal="left"/>
      <protection hidden="1"/>
    </xf>
    <xf numFmtId="0" fontId="13" fillId="3" borderId="0" xfId="3" applyFont="1" applyFill="1" applyAlignment="1" applyProtection="1">
      <alignment horizontal="right"/>
      <protection hidden="1"/>
    </xf>
    <xf numFmtId="0" fontId="5" fillId="3" borderId="123" xfId="2" applyFont="1" applyFill="1" applyBorder="1" applyAlignment="1" applyProtection="1">
      <alignment horizontal="left"/>
      <protection hidden="1"/>
    </xf>
    <xf numFmtId="0" fontId="5" fillId="3" borderId="0" xfId="2" applyFont="1" applyFill="1" applyBorder="1" applyAlignment="1" applyProtection="1">
      <alignment horizontal="left"/>
      <protection hidden="1"/>
    </xf>
    <xf numFmtId="0" fontId="217" fillId="3" borderId="0" xfId="413" applyFont="1" applyFill="1" applyAlignment="1" applyProtection="1">
      <alignment horizontal="left"/>
      <protection hidden="1"/>
    </xf>
    <xf numFmtId="0" fontId="36" fillId="3" borderId="482" xfId="413" applyFont="1" applyFill="1" applyBorder="1" applyAlignment="1" applyProtection="1">
      <alignment horizontal="left"/>
      <protection hidden="1"/>
    </xf>
    <xf numFmtId="0" fontId="26" fillId="4" borderId="0" xfId="413" applyFont="1" applyFill="1" applyAlignment="1" applyProtection="1">
      <alignment horizontal="right"/>
      <protection hidden="1"/>
    </xf>
    <xf numFmtId="1" fontId="36" fillId="3" borderId="476" xfId="1" applyNumberFormat="1" applyFont="1" applyFill="1" applyBorder="1" applyAlignment="1" applyProtection="1">
      <alignment horizontal="left"/>
      <protection hidden="1"/>
    </xf>
    <xf numFmtId="1" fontId="36" fillId="3" borderId="477" xfId="1" applyNumberFormat="1" applyFont="1" applyFill="1" applyBorder="1" applyAlignment="1" applyProtection="1">
      <alignment horizontal="left"/>
      <protection hidden="1"/>
    </xf>
    <xf numFmtId="0" fontId="5" fillId="3" borderId="502" xfId="2" applyFont="1" applyFill="1" applyBorder="1" applyAlignment="1" applyProtection="1">
      <alignment horizontal="left" wrapText="1"/>
      <protection hidden="1"/>
    </xf>
    <xf numFmtId="0" fontId="0" fillId="0" borderId="503" xfId="0" applyBorder="1" applyAlignment="1" applyProtection="1">
      <alignment horizontal="left"/>
      <protection hidden="1"/>
    </xf>
    <xf numFmtId="0" fontId="0" fillId="0" borderId="504" xfId="0" applyBorder="1" applyAlignment="1" applyProtection="1">
      <alignment horizontal="left"/>
      <protection hidden="1"/>
    </xf>
    <xf numFmtId="0" fontId="0" fillId="0" borderId="755" xfId="0" applyBorder="1" applyAlignment="1" applyProtection="1">
      <alignment horizontal="left"/>
      <protection hidden="1"/>
    </xf>
    <xf numFmtId="0" fontId="0" fillId="0" borderId="756" xfId="0" applyBorder="1" applyAlignment="1" applyProtection="1">
      <alignment horizontal="left"/>
      <protection hidden="1"/>
    </xf>
    <xf numFmtId="0" fontId="0" fillId="0" borderId="757" xfId="0" applyBorder="1" applyAlignment="1" applyProtection="1">
      <alignment horizontal="left"/>
      <protection hidden="1"/>
    </xf>
    <xf numFmtId="0" fontId="217" fillId="3" borderId="0" xfId="413" applyFont="1" applyFill="1" applyAlignment="1" applyProtection="1">
      <protection hidden="1"/>
    </xf>
    <xf numFmtId="0" fontId="26" fillId="0" borderId="409" xfId="413" applyFont="1" applyBorder="1" applyAlignment="1" applyProtection="1">
      <alignment vertical="top"/>
      <protection hidden="1"/>
    </xf>
    <xf numFmtId="0" fontId="26" fillId="5" borderId="494" xfId="413" applyFont="1" applyFill="1" applyBorder="1" applyAlignment="1" applyProtection="1">
      <protection locked="0"/>
    </xf>
    <xf numFmtId="0" fontId="26" fillId="5" borderId="482" xfId="413" applyFont="1" applyFill="1" applyBorder="1" applyAlignment="1" applyProtection="1">
      <protection locked="0"/>
    </xf>
    <xf numFmtId="0" fontId="26" fillId="5" borderId="493" xfId="413" applyFont="1" applyFill="1" applyBorder="1" applyAlignment="1" applyProtection="1">
      <protection locked="0"/>
    </xf>
    <xf numFmtId="0" fontId="263" fillId="42" borderId="409" xfId="413" applyFont="1" applyFill="1" applyBorder="1" applyAlignment="1" applyProtection="1">
      <protection hidden="1"/>
    </xf>
    <xf numFmtId="0" fontId="263" fillId="42" borderId="343" xfId="413" applyFont="1" applyFill="1" applyBorder="1" applyAlignment="1" applyProtection="1">
      <protection hidden="1"/>
    </xf>
    <xf numFmtId="0" fontId="5" fillId="3" borderId="409" xfId="413" applyFont="1" applyFill="1" applyBorder="1" applyAlignment="1" applyProtection="1">
      <alignment horizontal="right"/>
      <protection hidden="1"/>
    </xf>
    <xf numFmtId="0" fontId="5" fillId="3" borderId="342" xfId="413" applyFont="1" applyFill="1" applyBorder="1" applyAlignment="1" applyProtection="1">
      <alignment horizontal="right"/>
      <protection hidden="1"/>
    </xf>
    <xf numFmtId="0" fontId="5" fillId="0" borderId="123" xfId="413" applyFont="1" applyBorder="1" applyAlignment="1" applyProtection="1">
      <alignment vertical="center" wrapText="1"/>
      <protection hidden="1"/>
    </xf>
    <xf numFmtId="0" fontId="5" fillId="3" borderId="123" xfId="413" applyFont="1" applyFill="1" applyBorder="1" applyAlignment="1" applyProtection="1">
      <alignment horizontal="left"/>
      <protection hidden="1"/>
    </xf>
    <xf numFmtId="0" fontId="5" fillId="3" borderId="301" xfId="413" applyFont="1" applyFill="1" applyBorder="1" applyAlignment="1" applyProtection="1">
      <alignment horizontal="left"/>
      <protection hidden="1"/>
    </xf>
    <xf numFmtId="0" fontId="5" fillId="3" borderId="494" xfId="413" applyFont="1" applyFill="1" applyBorder="1" applyAlignment="1" applyProtection="1">
      <alignment horizontal="left"/>
      <protection hidden="1"/>
    </xf>
    <xf numFmtId="0" fontId="5" fillId="3" borderId="493" xfId="413" applyFont="1" applyFill="1" applyBorder="1" applyAlignment="1" applyProtection="1">
      <alignment horizontal="left"/>
      <protection hidden="1"/>
    </xf>
    <xf numFmtId="0" fontId="5" fillId="3" borderId="0" xfId="2" applyFont="1" applyFill="1" applyAlignment="1" applyProtection="1">
      <alignment horizontal="left" vertical="top"/>
      <protection hidden="1"/>
    </xf>
    <xf numFmtId="0" fontId="5" fillId="3" borderId="0" xfId="413" applyFont="1" applyFill="1" applyAlignment="1" applyProtection="1">
      <alignment horizontal="left" vertical="top" wrapText="1"/>
      <protection hidden="1"/>
    </xf>
    <xf numFmtId="0" fontId="217" fillId="45" borderId="0" xfId="2" applyFont="1" applyFill="1" applyAlignment="1" applyProtection="1">
      <alignment wrapText="1"/>
      <protection hidden="1"/>
    </xf>
    <xf numFmtId="2" fontId="5" fillId="3" borderId="0" xfId="2" applyNumberFormat="1" applyFill="1" applyAlignment="1" applyProtection="1">
      <alignment horizontal="left"/>
      <protection hidden="1"/>
    </xf>
    <xf numFmtId="0" fontId="217" fillId="3" borderId="0" xfId="2" applyFont="1" applyFill="1" applyAlignment="1" applyProtection="1">
      <alignment horizontal="left" wrapText="1"/>
      <protection hidden="1"/>
    </xf>
    <xf numFmtId="0" fontId="9" fillId="0" borderId="476" xfId="413" applyFont="1" applyBorder="1" applyAlignment="1" applyProtection="1">
      <alignment horizontal="center"/>
      <protection hidden="1"/>
    </xf>
    <xf numFmtId="0" fontId="9" fillId="0" borderId="477" xfId="413" applyFont="1" applyBorder="1" applyAlignment="1" applyProtection="1">
      <alignment horizontal="center"/>
      <protection hidden="1"/>
    </xf>
    <xf numFmtId="0" fontId="9" fillId="0" borderId="478" xfId="413" applyFont="1" applyBorder="1" applyAlignment="1" applyProtection="1">
      <alignment horizontal="center"/>
      <protection hidden="1"/>
    </xf>
    <xf numFmtId="0" fontId="217" fillId="14" borderId="0" xfId="413" applyFont="1" applyFill="1" applyAlignment="1" applyProtection="1">
      <alignment horizontal="left"/>
      <protection hidden="1"/>
    </xf>
    <xf numFmtId="0" fontId="5" fillId="14" borderId="482" xfId="413" applyFont="1" applyFill="1" applyBorder="1" applyAlignment="1" applyProtection="1">
      <alignment horizontal="left"/>
      <protection hidden="1"/>
    </xf>
    <xf numFmtId="0" fontId="217" fillId="4" borderId="515" xfId="413" applyFont="1" applyFill="1" applyBorder="1" applyAlignment="1" applyProtection="1">
      <protection hidden="1"/>
    </xf>
    <xf numFmtId="0" fontId="217" fillId="4" borderId="475" xfId="413" applyFont="1" applyFill="1" applyBorder="1" applyAlignment="1" applyProtection="1">
      <protection hidden="1"/>
    </xf>
    <xf numFmtId="0" fontId="47" fillId="3" borderId="475" xfId="2" applyFont="1" applyFill="1" applyBorder="1" applyAlignment="1" applyProtection="1">
      <alignment horizontal="left" wrapText="1"/>
      <protection hidden="1"/>
    </xf>
    <xf numFmtId="0" fontId="5" fillId="0" borderId="605" xfId="429" applyFont="1" applyBorder="1" applyAlignment="1" applyProtection="1">
      <alignment horizontal="center"/>
      <protection hidden="1"/>
    </xf>
    <xf numFmtId="0" fontId="5" fillId="0" borderId="606" xfId="429" applyFont="1" applyBorder="1" applyAlignment="1" applyProtection="1">
      <alignment horizontal="center"/>
      <protection hidden="1"/>
    </xf>
    <xf numFmtId="169" fontId="5" fillId="0" borderId="605" xfId="429" applyNumberFormat="1" applyFont="1" applyBorder="1" applyAlignment="1" applyProtection="1">
      <alignment horizontal="center"/>
      <protection hidden="1"/>
    </xf>
    <xf numFmtId="169" fontId="5" fillId="0" borderId="606" xfId="429" applyNumberFormat="1" applyFont="1" applyBorder="1" applyAlignment="1" applyProtection="1">
      <alignment horizontal="center"/>
      <protection hidden="1"/>
    </xf>
    <xf numFmtId="0" fontId="5" fillId="0" borderId="531" xfId="413" applyFont="1" applyBorder="1" applyAlignment="1" applyProtection="1">
      <alignment horizontal="left"/>
      <protection hidden="1"/>
    </xf>
    <xf numFmtId="0" fontId="5" fillId="0" borderId="543" xfId="2" applyFont="1" applyBorder="1" applyAlignment="1" applyProtection="1">
      <alignment horizontal="left"/>
      <protection hidden="1"/>
    </xf>
    <xf numFmtId="0" fontId="5" fillId="0" borderId="531" xfId="2" applyFont="1" applyBorder="1" applyAlignment="1" applyProtection="1">
      <alignment horizontal="left"/>
      <protection hidden="1"/>
    </xf>
    <xf numFmtId="0" fontId="5" fillId="0" borderId="530" xfId="2" applyFont="1" applyBorder="1" applyAlignment="1" applyProtection="1">
      <alignment horizontal="left"/>
      <protection hidden="1"/>
    </xf>
    <xf numFmtId="0" fontId="5" fillId="3" borderId="736" xfId="2" applyFont="1" applyFill="1" applyBorder="1" applyAlignment="1" applyProtection="1">
      <alignment horizontal="center"/>
      <protection hidden="1"/>
    </xf>
    <xf numFmtId="0" fontId="5" fillId="3" borderId="737" xfId="2" applyFont="1" applyFill="1" applyBorder="1" applyAlignment="1" applyProtection="1">
      <alignment horizontal="center"/>
      <protection hidden="1"/>
    </xf>
    <xf numFmtId="0" fontId="5" fillId="4" borderId="736" xfId="2" applyFont="1" applyFill="1" applyBorder="1" applyAlignment="1" applyProtection="1">
      <alignment horizontal="center"/>
      <protection hidden="1"/>
    </xf>
    <xf numFmtId="0" fontId="5" fillId="4" borderId="737" xfId="2" applyFont="1" applyFill="1" applyBorder="1" applyAlignment="1" applyProtection="1">
      <alignment horizontal="center"/>
      <protection hidden="1"/>
    </xf>
    <xf numFmtId="0" fontId="5" fillId="3" borderId="543" xfId="2" applyFont="1" applyFill="1" applyBorder="1" applyAlignment="1" applyProtection="1">
      <alignment horizontal="left"/>
      <protection hidden="1"/>
    </xf>
    <xf numFmtId="0" fontId="5" fillId="3" borderId="531" xfId="2" applyFont="1" applyFill="1" applyBorder="1" applyAlignment="1" applyProtection="1">
      <alignment horizontal="left"/>
      <protection hidden="1"/>
    </xf>
    <xf numFmtId="0" fontId="5" fillId="3" borderId="530" xfId="2" applyFont="1" applyFill="1" applyBorder="1" applyAlignment="1" applyProtection="1">
      <alignment horizontal="left"/>
      <protection hidden="1"/>
    </xf>
    <xf numFmtId="0" fontId="44" fillId="4" borderId="476" xfId="413" applyFont="1" applyFill="1" applyBorder="1" applyAlignment="1" applyProtection="1">
      <alignment horizontal="left"/>
      <protection hidden="1"/>
    </xf>
    <xf numFmtId="0" fontId="5" fillId="0" borderId="477" xfId="0" applyFont="1" applyBorder="1" applyAlignment="1" applyProtection="1">
      <protection hidden="1"/>
    </xf>
    <xf numFmtId="0" fontId="5" fillId="0" borderId="478" xfId="0" applyFont="1" applyBorder="1" applyAlignment="1" applyProtection="1">
      <protection hidden="1"/>
    </xf>
    <xf numFmtId="0" fontId="5" fillId="3" borderId="0" xfId="413" applyFont="1" applyFill="1" applyAlignment="1" applyProtection="1">
      <alignment horizontal="right"/>
      <protection hidden="1"/>
    </xf>
    <xf numFmtId="0" fontId="5" fillId="3" borderId="302" xfId="2" applyFill="1" applyBorder="1" applyAlignment="1" applyProtection="1">
      <alignment horizontal="right" vertical="top" wrapText="1"/>
      <protection hidden="1"/>
    </xf>
    <xf numFmtId="0" fontId="0" fillId="0" borderId="302" xfId="0" applyBorder="1" applyProtection="1">
      <protection hidden="1"/>
    </xf>
    <xf numFmtId="0" fontId="5" fillId="4" borderId="476" xfId="2" applyFont="1" applyFill="1" applyBorder="1" applyAlignment="1" applyProtection="1">
      <alignment horizontal="center"/>
      <protection hidden="1"/>
    </xf>
    <xf numFmtId="0" fontId="5" fillId="4" borderId="478" xfId="2" applyFont="1" applyFill="1" applyBorder="1" applyAlignment="1" applyProtection="1">
      <alignment horizontal="center"/>
      <protection hidden="1"/>
    </xf>
    <xf numFmtId="0" fontId="5" fillId="3" borderId="302" xfId="413" applyFont="1" applyFill="1" applyBorder="1" applyAlignment="1" applyProtection="1">
      <alignment horizontal="left"/>
      <protection hidden="1"/>
    </xf>
    <xf numFmtId="0" fontId="174" fillId="3" borderId="758" xfId="2" applyFont="1" applyFill="1" applyBorder="1" applyAlignment="1" applyProtection="1">
      <alignment horizontal="center"/>
    </xf>
    <xf numFmtId="0" fontId="2" fillId="3" borderId="0" xfId="2" applyFont="1" applyFill="1" applyAlignment="1" applyProtection="1">
      <protection hidden="1"/>
    </xf>
    <xf numFmtId="0" fontId="6" fillId="3" borderId="0" xfId="429" applyFont="1" applyFill="1" applyAlignment="1" applyProtection="1">
      <alignment horizontal="center" vertical="top" wrapText="1"/>
      <protection hidden="1"/>
    </xf>
    <xf numFmtId="0" fontId="2" fillId="3" borderId="0" xfId="429" applyFont="1" applyFill="1" applyAlignment="1" applyProtection="1">
      <alignment horizontal="right"/>
      <protection hidden="1"/>
    </xf>
    <xf numFmtId="0" fontId="2" fillId="3" borderId="0" xfId="429" applyFont="1" applyFill="1" applyAlignment="1" applyProtection="1">
      <alignment horizontal="right" vertical="center"/>
      <protection hidden="1"/>
    </xf>
    <xf numFmtId="0" fontId="34" fillId="59" borderId="0" xfId="429" applyFont="1" applyFill="1" applyAlignment="1" applyProtection="1">
      <alignment horizontal="right"/>
      <protection hidden="1"/>
    </xf>
    <xf numFmtId="0" fontId="51" fillId="2" borderId="516" xfId="2" applyFont="1" applyFill="1" applyBorder="1" applyAlignment="1" applyProtection="1">
      <alignment horizontal="left"/>
      <protection hidden="1"/>
    </xf>
    <xf numFmtId="0" fontId="51" fillId="2" borderId="734" xfId="2" applyFont="1" applyFill="1" applyBorder="1" applyAlignment="1" applyProtection="1">
      <alignment horizontal="left"/>
      <protection hidden="1"/>
    </xf>
    <xf numFmtId="0" fontId="5" fillId="3" borderId="0" xfId="2" applyFont="1" applyFill="1" applyAlignment="1" applyProtection="1">
      <protection hidden="1"/>
    </xf>
    <xf numFmtId="0" fontId="5" fillId="3" borderId="0" xfId="429" applyFont="1" applyFill="1" applyAlignment="1" applyProtection="1">
      <alignment horizontal="left"/>
      <protection hidden="1"/>
    </xf>
    <xf numFmtId="0" fontId="27" fillId="0" borderId="0" xfId="429" applyFont="1" applyAlignment="1" applyProtection="1">
      <alignment horizontal="center"/>
      <protection hidden="1"/>
    </xf>
    <xf numFmtId="0" fontId="26" fillId="3" borderId="302" xfId="2" applyFont="1" applyFill="1" applyBorder="1" applyAlignment="1" applyProtection="1">
      <alignment horizontal="left" wrapText="1"/>
      <protection hidden="1"/>
    </xf>
    <xf numFmtId="0" fontId="26" fillId="3" borderId="0" xfId="2" applyFont="1" applyFill="1" applyAlignment="1" applyProtection="1">
      <alignment horizontal="left" wrapText="1"/>
      <protection hidden="1"/>
    </xf>
    <xf numFmtId="0" fontId="5" fillId="0" borderId="0" xfId="2" applyAlignment="1" applyProtection="1">
      <alignment horizontal="center"/>
      <protection hidden="1"/>
    </xf>
    <xf numFmtId="0" fontId="5" fillId="0" borderId="301" xfId="2" applyBorder="1" applyAlignment="1" applyProtection="1">
      <alignment horizontal="center"/>
      <protection hidden="1"/>
    </xf>
    <xf numFmtId="0" fontId="5" fillId="0" borderId="0" xfId="2" applyBorder="1" applyAlignment="1" applyProtection="1">
      <alignment horizontal="center"/>
      <protection hidden="1"/>
    </xf>
    <xf numFmtId="0" fontId="47" fillId="4" borderId="0" xfId="2" applyFont="1" applyFill="1" applyBorder="1" applyAlignment="1" applyProtection="1">
      <alignment horizontal="left"/>
      <protection hidden="1"/>
    </xf>
    <xf numFmtId="0" fontId="5" fillId="3" borderId="628" xfId="2" applyFont="1" applyFill="1" applyBorder="1" applyAlignment="1" applyProtection="1">
      <alignment horizontal="left"/>
      <protection hidden="1"/>
    </xf>
    <xf numFmtId="0" fontId="5" fillId="3" borderId="628" xfId="2" applyFont="1" applyFill="1" applyBorder="1" applyAlignment="1" applyProtection="1">
      <alignment horizontal="center"/>
      <protection hidden="1"/>
    </xf>
    <xf numFmtId="0" fontId="5" fillId="3" borderId="466" xfId="429" applyFont="1" applyFill="1" applyBorder="1" applyAlignment="1" applyProtection="1">
      <alignment horizontal="center" vertical="top"/>
      <protection hidden="1"/>
    </xf>
    <xf numFmtId="0" fontId="5" fillId="3" borderId="342" xfId="429" applyFont="1" applyFill="1" applyBorder="1" applyAlignment="1" applyProtection="1">
      <alignment horizontal="center" vertical="top"/>
      <protection hidden="1"/>
    </xf>
    <xf numFmtId="0" fontId="45" fillId="61" borderId="641" xfId="3" applyFont="1" applyFill="1" applyBorder="1" applyAlignment="1" applyProtection="1">
      <alignment horizontal="center" vertical="top" wrapText="1"/>
      <protection hidden="1"/>
    </xf>
    <xf numFmtId="0" fontId="45" fillId="61" borderId="362" xfId="3" applyFont="1" applyFill="1" applyBorder="1" applyAlignment="1" applyProtection="1">
      <alignment horizontal="center" vertical="top" wrapText="1"/>
      <protection hidden="1"/>
    </xf>
    <xf numFmtId="0" fontId="45" fillId="61" borderId="424" xfId="3" applyFont="1" applyFill="1" applyBorder="1" applyAlignment="1" applyProtection="1">
      <alignment horizontal="center" vertical="top" wrapText="1"/>
      <protection hidden="1"/>
    </xf>
    <xf numFmtId="0" fontId="45" fillId="61" borderId="753" xfId="3" applyFont="1" applyFill="1" applyBorder="1" applyAlignment="1" applyProtection="1">
      <alignment horizontal="center" vertical="top" wrapText="1"/>
      <protection hidden="1"/>
    </xf>
    <xf numFmtId="0" fontId="45" fillId="61" borderId="746" xfId="3" applyFont="1" applyFill="1" applyBorder="1" applyAlignment="1" applyProtection="1">
      <alignment horizontal="center" vertical="top" wrapText="1"/>
      <protection hidden="1"/>
    </xf>
    <xf numFmtId="0" fontId="45" fillId="61" borderId="745" xfId="3" applyFont="1" applyFill="1" applyBorder="1" applyAlignment="1" applyProtection="1">
      <alignment horizontal="center" vertical="top" wrapText="1"/>
      <protection hidden="1"/>
    </xf>
    <xf numFmtId="0" fontId="326" fillId="0" borderId="302" xfId="429" applyFont="1" applyBorder="1" applyAlignment="1" applyProtection="1">
      <alignment horizontal="left"/>
      <protection hidden="1"/>
    </xf>
    <xf numFmtId="0" fontId="326" fillId="0" borderId="0" xfId="429" applyFont="1" applyAlignment="1" applyProtection="1">
      <alignment horizontal="left"/>
      <protection hidden="1"/>
    </xf>
    <xf numFmtId="0" fontId="102" fillId="5" borderId="751" xfId="2" applyFont="1" applyFill="1" applyBorder="1" applyAlignment="1" applyProtection="1">
      <alignment horizontal="center"/>
      <protection locked="0"/>
    </xf>
    <xf numFmtId="0" fontId="102" fillId="5" borderId="711" xfId="2" applyFont="1" applyFill="1" applyBorder="1" applyAlignment="1" applyProtection="1">
      <alignment horizontal="center"/>
      <protection locked="0"/>
    </xf>
    <xf numFmtId="0" fontId="52" fillId="2" borderId="302" xfId="2" applyFont="1" applyFill="1" applyBorder="1" applyAlignment="1" applyProtection="1">
      <alignment horizontal="left" vertical="center" wrapText="1"/>
      <protection hidden="1"/>
    </xf>
    <xf numFmtId="0" fontId="52" fillId="2" borderId="0" xfId="2" applyFont="1" applyFill="1" applyBorder="1" applyAlignment="1" applyProtection="1">
      <alignment horizontal="left" vertical="center" wrapText="1"/>
      <protection hidden="1"/>
    </xf>
    <xf numFmtId="0" fontId="44" fillId="4" borderId="656" xfId="2" applyFont="1" applyFill="1" applyBorder="1" applyAlignment="1" applyProtection="1">
      <alignment horizontal="left"/>
      <protection hidden="1"/>
    </xf>
    <xf numFmtId="0" fontId="44" fillId="4" borderId="640" xfId="2" applyFont="1" applyFill="1" applyBorder="1" applyAlignment="1" applyProtection="1">
      <alignment horizontal="left"/>
      <protection hidden="1"/>
    </xf>
    <xf numFmtId="0" fontId="5" fillId="4" borderId="640" xfId="429" applyFont="1" applyFill="1" applyBorder="1" applyAlignment="1" applyProtection="1">
      <alignment horizontal="left"/>
      <protection hidden="1"/>
    </xf>
    <xf numFmtId="0" fontId="5" fillId="0" borderId="302" xfId="2" applyNumberFormat="1" applyFont="1" applyBorder="1" applyAlignment="1" applyProtection="1">
      <alignment horizontal="left" wrapText="1"/>
      <protection hidden="1"/>
    </xf>
    <xf numFmtId="0" fontId="5" fillId="0" borderId="0" xfId="2" applyNumberFormat="1" applyFont="1" applyBorder="1" applyAlignment="1" applyProtection="1">
      <alignment horizontal="left" wrapText="1"/>
      <protection hidden="1"/>
    </xf>
    <xf numFmtId="0" fontId="5" fillId="4" borderId="302" xfId="2" applyFont="1" applyFill="1" applyBorder="1" applyAlignment="1" applyProtection="1">
      <alignment horizontal="left"/>
      <protection hidden="1"/>
    </xf>
    <xf numFmtId="0" fontId="5" fillId="4" borderId="0" xfId="2" applyFont="1" applyFill="1" applyAlignment="1" applyProtection="1">
      <alignment horizontal="left"/>
      <protection hidden="1"/>
    </xf>
    <xf numFmtId="0" fontId="92" fillId="4" borderId="102" xfId="429" applyFont="1" applyFill="1" applyBorder="1" applyAlignment="1" applyProtection="1">
      <alignment horizontal="left"/>
      <protection hidden="1"/>
    </xf>
    <xf numFmtId="0" fontId="92" fillId="4" borderId="35" xfId="429" applyFont="1" applyFill="1" applyBorder="1" applyAlignment="1" applyProtection="1">
      <alignment horizontal="left"/>
      <protection hidden="1"/>
    </xf>
    <xf numFmtId="0" fontId="5" fillId="2" borderId="302" xfId="2" applyFont="1" applyFill="1" applyBorder="1" applyAlignment="1" applyProtection="1">
      <alignment horizontal="left"/>
      <protection hidden="1"/>
    </xf>
    <xf numFmtId="0" fontId="5" fillId="2" borderId="0" xfId="2" applyFont="1" applyFill="1" applyBorder="1" applyAlignment="1" applyProtection="1">
      <alignment horizontal="left"/>
      <protection hidden="1"/>
    </xf>
    <xf numFmtId="0" fontId="5" fillId="4" borderId="302" xfId="429" applyFont="1" applyFill="1" applyBorder="1" applyAlignment="1" applyProtection="1">
      <alignment horizontal="left"/>
      <protection hidden="1"/>
    </xf>
    <xf numFmtId="0" fontId="5" fillId="4" borderId="0" xfId="429" applyFont="1" applyFill="1" applyBorder="1" applyAlignment="1" applyProtection="1">
      <alignment horizontal="left"/>
      <protection hidden="1"/>
    </xf>
    <xf numFmtId="0" fontId="52" fillId="2" borderId="0" xfId="2" applyFont="1" applyFill="1" applyBorder="1" applyAlignment="1" applyProtection="1">
      <alignment horizontal="left" wrapText="1"/>
      <protection hidden="1"/>
    </xf>
    <xf numFmtId="0" fontId="5" fillId="2" borderId="640" xfId="2" applyFont="1" applyFill="1" applyBorder="1" applyAlignment="1" applyProtection="1">
      <alignment horizontal="left"/>
      <protection hidden="1"/>
    </xf>
    <xf numFmtId="0" fontId="51" fillId="4" borderId="302" xfId="2" applyFont="1" applyFill="1" applyBorder="1" applyAlignment="1" applyProtection="1">
      <alignment horizontal="left"/>
      <protection hidden="1"/>
    </xf>
    <xf numFmtId="0" fontId="51" fillId="4" borderId="0" xfId="2" applyFont="1" applyFill="1" applyBorder="1" applyAlignment="1" applyProtection="1">
      <alignment horizontal="left"/>
      <protection hidden="1"/>
    </xf>
    <xf numFmtId="0" fontId="51" fillId="4" borderId="11" xfId="2" applyFont="1" applyFill="1" applyBorder="1" applyAlignment="1" applyProtection="1">
      <alignment horizontal="left"/>
      <protection hidden="1"/>
    </xf>
    <xf numFmtId="0" fontId="15" fillId="2" borderId="0" xfId="3" applyFont="1" applyFill="1" applyBorder="1" applyAlignment="1" applyProtection="1">
      <alignment horizontal="left"/>
      <protection hidden="1"/>
    </xf>
    <xf numFmtId="0" fontId="5" fillId="3" borderId="640" xfId="2" applyFont="1" applyFill="1" applyBorder="1" applyAlignment="1" applyProtection="1">
      <alignment horizontal="left" wrapText="1"/>
      <protection hidden="1"/>
    </xf>
    <xf numFmtId="0" fontId="44" fillId="4" borderId="578" xfId="2" applyFont="1" applyFill="1" applyBorder="1" applyAlignment="1" applyProtection="1">
      <alignment horizontal="left"/>
      <protection hidden="1"/>
    </xf>
    <xf numFmtId="0" fontId="5" fillId="4" borderId="302" xfId="2" applyFont="1" applyFill="1" applyBorder="1" applyAlignment="1" applyProtection="1">
      <alignment horizontal="left" vertical="center" wrapText="1"/>
      <protection hidden="1"/>
    </xf>
    <xf numFmtId="0" fontId="5" fillId="4" borderId="0" xfId="2" applyFont="1" applyFill="1" applyBorder="1" applyAlignment="1" applyProtection="1">
      <alignment horizontal="left" vertical="center" wrapText="1"/>
      <protection hidden="1"/>
    </xf>
    <xf numFmtId="0" fontId="5" fillId="4" borderId="11" xfId="2" applyFont="1" applyFill="1" applyBorder="1" applyAlignment="1" applyProtection="1">
      <alignment horizontal="left" vertical="center" wrapText="1"/>
      <protection hidden="1"/>
    </xf>
    <xf numFmtId="0" fontId="236" fillId="4" borderId="84" xfId="2" applyFont="1" applyFill="1" applyBorder="1" applyAlignment="1" applyProtection="1">
      <alignment horizontal="left" vertical="top" wrapText="1"/>
      <protection hidden="1"/>
    </xf>
    <xf numFmtId="0" fontId="236" fillId="4" borderId="0" xfId="2" applyFont="1" applyFill="1" applyBorder="1" applyAlignment="1" applyProtection="1">
      <alignment horizontal="left" vertical="top" wrapText="1"/>
      <protection hidden="1"/>
    </xf>
    <xf numFmtId="0" fontId="5" fillId="3" borderId="734" xfId="2" applyFill="1" applyBorder="1" applyAlignment="1" applyProtection="1">
      <alignment horizontal="right"/>
      <protection hidden="1"/>
    </xf>
    <xf numFmtId="0" fontId="5" fillId="3" borderId="656" xfId="2" applyFill="1" applyBorder="1" applyAlignment="1" applyProtection="1">
      <alignment horizontal="right"/>
      <protection hidden="1"/>
    </xf>
    <xf numFmtId="0" fontId="5" fillId="0" borderId="656" xfId="429" applyFont="1" applyBorder="1" applyAlignment="1" applyProtection="1">
      <alignment horizontal="center"/>
      <protection hidden="1"/>
    </xf>
    <xf numFmtId="2" fontId="5" fillId="3" borderId="628" xfId="2" applyNumberFormat="1" applyFill="1" applyBorder="1" applyAlignment="1" applyProtection="1">
      <alignment horizontal="center"/>
      <protection hidden="1"/>
    </xf>
    <xf numFmtId="0" fontId="15" fillId="0" borderId="607" xfId="3" applyFont="1" applyBorder="1" applyProtection="1">
      <alignment vertical="top"/>
      <protection hidden="1"/>
    </xf>
    <xf numFmtId="0" fontId="217" fillId="3" borderId="0" xfId="1" applyFont="1" applyFill="1" applyAlignment="1" applyProtection="1">
      <alignment horizontal="left"/>
      <protection hidden="1"/>
    </xf>
    <xf numFmtId="0" fontId="5" fillId="3" borderId="0" xfId="2" applyFill="1" applyAlignment="1" applyProtection="1">
      <alignment horizontal="left" vertical="center" wrapText="1"/>
      <protection hidden="1"/>
    </xf>
    <xf numFmtId="166" fontId="26" fillId="3" borderId="656" xfId="1" applyNumberFormat="1" applyFont="1" applyFill="1" applyBorder="1" applyAlignment="1" applyProtection="1">
      <alignment horizontal="center" wrapText="1"/>
      <protection hidden="1"/>
    </xf>
    <xf numFmtId="0" fontId="15" fillId="0" borderId="0" xfId="3" applyFont="1" applyAlignment="1" applyProtection="1">
      <alignment horizontal="left" vertical="top"/>
      <protection hidden="1"/>
    </xf>
    <xf numFmtId="0" fontId="5" fillId="4" borderId="0" xfId="429" applyFont="1" applyFill="1" applyAlignment="1" applyProtection="1">
      <alignment horizontal="left" vertical="center" wrapText="1"/>
      <protection hidden="1"/>
    </xf>
    <xf numFmtId="2" fontId="51" fillId="4" borderId="743" xfId="429" applyNumberFormat="1" applyFont="1" applyFill="1" applyBorder="1" applyAlignment="1" applyProtection="1">
      <alignment horizontal="right" vertical="top"/>
      <protection hidden="1"/>
    </xf>
    <xf numFmtId="2" fontId="51" fillId="4" borderId="742" xfId="429" applyNumberFormat="1" applyFont="1" applyFill="1" applyBorder="1" applyAlignment="1" applyProtection="1">
      <alignment horizontal="right" vertical="top"/>
      <protection hidden="1"/>
    </xf>
    <xf numFmtId="2" fontId="51" fillId="4" borderId="741" xfId="429" applyNumberFormat="1" applyFont="1" applyFill="1" applyBorder="1" applyAlignment="1" applyProtection="1">
      <alignment horizontal="right" vertical="top"/>
      <protection hidden="1"/>
    </xf>
    <xf numFmtId="2" fontId="5" fillId="3" borderId="302" xfId="2" applyNumberFormat="1" applyFont="1" applyFill="1" applyBorder="1" applyAlignment="1" applyProtection="1">
      <alignment horizontal="left" wrapText="1"/>
      <protection hidden="1"/>
    </xf>
    <xf numFmtId="0" fontId="1" fillId="0" borderId="0" xfId="0" applyFont="1" applyProtection="1">
      <protection hidden="1"/>
    </xf>
    <xf numFmtId="0" fontId="1" fillId="0" borderId="302" xfId="0" applyFont="1" applyBorder="1" applyProtection="1">
      <protection hidden="1"/>
    </xf>
    <xf numFmtId="2" fontId="5" fillId="3" borderId="640" xfId="2" applyNumberFormat="1" applyFill="1" applyBorder="1" applyAlignment="1" applyProtection="1">
      <alignment horizontal="right"/>
      <protection hidden="1"/>
    </xf>
    <xf numFmtId="2" fontId="5" fillId="3" borderId="578" xfId="2" applyNumberFormat="1" applyFill="1" applyBorder="1" applyAlignment="1" applyProtection="1">
      <alignment horizontal="center"/>
      <protection hidden="1"/>
    </xf>
    <xf numFmtId="0" fontId="5" fillId="3" borderId="628" xfId="2" applyFill="1" applyBorder="1" applyAlignment="1" applyProtection="1">
      <alignment horizontal="center"/>
      <protection hidden="1"/>
    </xf>
    <xf numFmtId="0" fontId="5" fillId="4" borderId="628" xfId="2" applyFont="1" applyFill="1" applyBorder="1" applyAlignment="1" applyProtection="1">
      <alignment horizontal="center"/>
      <protection hidden="1"/>
    </xf>
    <xf numFmtId="0" fontId="44" fillId="4" borderId="743" xfId="429" applyFont="1" applyFill="1" applyBorder="1" applyAlignment="1" applyProtection="1">
      <alignment horizontal="left"/>
      <protection hidden="1"/>
    </xf>
    <xf numFmtId="0" fontId="44" fillId="4" borderId="742" xfId="429" applyFont="1" applyFill="1" applyBorder="1" applyAlignment="1" applyProtection="1">
      <alignment horizontal="left"/>
      <protection hidden="1"/>
    </xf>
    <xf numFmtId="0" fontId="44" fillId="4" borderId="741" xfId="429" applyFont="1" applyFill="1" applyBorder="1" applyAlignment="1" applyProtection="1">
      <alignment horizontal="left"/>
      <protection hidden="1"/>
    </xf>
    <xf numFmtId="0" fontId="5" fillId="5" borderId="628" xfId="2" applyFill="1" applyBorder="1" applyAlignment="1" applyProtection="1">
      <alignment horizontal="center"/>
      <protection locked="0"/>
    </xf>
    <xf numFmtId="2" fontId="5" fillId="0" borderId="628" xfId="429" applyNumberFormat="1" applyFont="1" applyBorder="1" applyAlignment="1" applyProtection="1">
      <alignment horizontal="center"/>
      <protection hidden="1"/>
    </xf>
    <xf numFmtId="164" fontId="5" fillId="3" borderId="628" xfId="2" applyNumberFormat="1" applyFill="1" applyBorder="1" applyAlignment="1" applyProtection="1">
      <alignment horizontal="center"/>
      <protection hidden="1"/>
    </xf>
    <xf numFmtId="2" fontId="5" fillId="3" borderId="516" xfId="2" applyNumberFormat="1" applyFill="1" applyBorder="1" applyAlignment="1" applyProtection="1">
      <alignment horizontal="right"/>
      <protection hidden="1"/>
    </xf>
    <xf numFmtId="2" fontId="5" fillId="3" borderId="710" xfId="2" applyNumberFormat="1" applyFill="1" applyBorder="1" applyAlignment="1" applyProtection="1">
      <alignment horizontal="right"/>
      <protection hidden="1"/>
    </xf>
    <xf numFmtId="2" fontId="5" fillId="0" borderId="578" xfId="429" applyNumberFormat="1" applyFont="1" applyBorder="1" applyAlignment="1" applyProtection="1">
      <alignment horizontal="center"/>
      <protection hidden="1"/>
    </xf>
    <xf numFmtId="2" fontId="5" fillId="3" borderId="656" xfId="2" applyNumberFormat="1" applyFill="1" applyBorder="1" applyAlignment="1" applyProtection="1">
      <alignment horizontal="right"/>
      <protection hidden="1"/>
    </xf>
    <xf numFmtId="2" fontId="5" fillId="3" borderId="656" xfId="2" applyNumberFormat="1" applyFill="1" applyBorder="1" applyAlignment="1" applyProtection="1">
      <alignment horizontal="center"/>
      <protection hidden="1"/>
    </xf>
    <xf numFmtId="2" fontId="217" fillId="3" borderId="0" xfId="414" applyNumberFormat="1" applyFont="1" applyFill="1" applyAlignment="1" applyProtection="1">
      <alignment horizontal="left"/>
      <protection hidden="1"/>
    </xf>
    <xf numFmtId="0" fontId="5" fillId="3" borderId="656" xfId="414" applyFont="1" applyFill="1" applyBorder="1" applyAlignment="1" applyProtection="1">
      <alignment horizontal="center"/>
      <protection hidden="1"/>
    </xf>
    <xf numFmtId="0" fontId="5" fillId="2" borderId="641" xfId="2" applyFill="1" applyBorder="1" applyAlignment="1" applyProtection="1">
      <alignment horizontal="right"/>
      <protection hidden="1"/>
    </xf>
    <xf numFmtId="0" fontId="5" fillId="2" borderId="0" xfId="2" applyFill="1" applyBorder="1" applyAlignment="1" applyProtection="1">
      <alignment horizontal="right"/>
      <protection hidden="1"/>
    </xf>
    <xf numFmtId="0" fontId="5" fillId="2" borderId="301" xfId="2" applyFill="1" applyBorder="1" applyAlignment="1" applyProtection="1">
      <alignment horizontal="right"/>
      <protection hidden="1"/>
    </xf>
    <xf numFmtId="0" fontId="5" fillId="3" borderId="656" xfId="2" applyFill="1" applyBorder="1" applyAlignment="1" applyProtection="1">
      <alignment horizontal="center"/>
      <protection hidden="1"/>
    </xf>
    <xf numFmtId="0" fontId="5" fillId="3" borderId="578" xfId="2" applyFill="1" applyBorder="1" applyAlignment="1" applyProtection="1">
      <alignment horizontal="center"/>
      <protection hidden="1"/>
    </xf>
    <xf numFmtId="0" fontId="51" fillId="4" borderId="342" xfId="429" applyFont="1" applyFill="1" applyBorder="1" applyAlignment="1" applyProtection="1">
      <alignment horizontal="center" vertical="top"/>
      <protection hidden="1"/>
    </xf>
    <xf numFmtId="0" fontId="51" fillId="4" borderId="0" xfId="429" applyFont="1" applyFill="1" applyBorder="1" applyAlignment="1" applyProtection="1">
      <alignment horizontal="center" vertical="top"/>
      <protection hidden="1"/>
    </xf>
    <xf numFmtId="0" fontId="5" fillId="3" borderId="302" xfId="3" applyFont="1" applyFill="1" applyBorder="1" applyAlignment="1" applyProtection="1">
      <alignment horizontal="left" vertical="center" wrapText="1"/>
      <protection hidden="1"/>
    </xf>
    <xf numFmtId="0" fontId="5" fillId="3" borderId="0" xfId="3" applyFont="1" applyFill="1" applyBorder="1" applyAlignment="1" applyProtection="1">
      <alignment horizontal="left" vertical="center" wrapText="1"/>
      <protection hidden="1"/>
    </xf>
    <xf numFmtId="0" fontId="5" fillId="2" borderId="0" xfId="2" applyFont="1" applyFill="1" applyAlignment="1" applyProtection="1">
      <alignment horizontal="right" vertical="center"/>
      <protection hidden="1"/>
    </xf>
    <xf numFmtId="0" fontId="15" fillId="2" borderId="0" xfId="3" applyFont="1" applyFill="1" applyAlignment="1" applyProtection="1">
      <alignment horizontal="left" vertical="top" wrapText="1"/>
      <protection hidden="1"/>
    </xf>
    <xf numFmtId="0" fontId="5" fillId="2" borderId="0" xfId="2" applyFill="1" applyBorder="1" applyAlignment="1" applyProtection="1">
      <alignment horizontal="left"/>
      <protection hidden="1"/>
    </xf>
    <xf numFmtId="1" fontId="5" fillId="3" borderId="628" xfId="2" applyNumberFormat="1" applyFill="1" applyBorder="1" applyAlignment="1" applyProtection="1">
      <alignment horizontal="center"/>
      <protection hidden="1"/>
    </xf>
    <xf numFmtId="0" fontId="238" fillId="3" borderId="466" xfId="2" applyFont="1" applyFill="1" applyBorder="1" applyAlignment="1" applyProtection="1">
      <alignment horizontal="left" vertical="top"/>
      <protection locked="0"/>
    </xf>
    <xf numFmtId="0" fontId="238" fillId="3" borderId="342" xfId="2" applyFont="1" applyFill="1" applyBorder="1" applyAlignment="1" applyProtection="1">
      <alignment horizontal="left" vertical="top"/>
      <protection locked="0"/>
    </xf>
    <xf numFmtId="0" fontId="238" fillId="3" borderId="399" xfId="2" applyFont="1" applyFill="1" applyBorder="1" applyAlignment="1" applyProtection="1">
      <alignment horizontal="left" vertical="top"/>
      <protection locked="0"/>
    </xf>
    <xf numFmtId="0" fontId="238" fillId="3" borderId="302" xfId="2" applyFont="1" applyFill="1" applyBorder="1" applyAlignment="1" applyProtection="1">
      <alignment horizontal="left" vertical="top"/>
      <protection locked="0"/>
    </xf>
    <xf numFmtId="0" fontId="238" fillId="3" borderId="0" xfId="2" applyFont="1" applyFill="1" applyBorder="1" applyAlignment="1" applyProtection="1">
      <alignment horizontal="left" vertical="top"/>
      <protection locked="0"/>
    </xf>
    <xf numFmtId="0" fontId="238" fillId="3" borderId="301" xfId="2" applyFont="1" applyFill="1" applyBorder="1" applyAlignment="1" applyProtection="1">
      <alignment horizontal="left" vertical="top"/>
      <protection locked="0"/>
    </xf>
    <xf numFmtId="0" fontId="238" fillId="3" borderId="516" xfId="2" applyFont="1" applyFill="1" applyBorder="1" applyAlignment="1" applyProtection="1">
      <alignment horizontal="left" vertical="top"/>
      <protection locked="0"/>
    </xf>
    <xf numFmtId="0" fontId="238" fillId="3" borderId="734" xfId="2" applyFont="1" applyFill="1" applyBorder="1" applyAlignment="1" applyProtection="1">
      <alignment horizontal="left" vertical="top"/>
      <protection locked="0"/>
    </xf>
    <xf numFmtId="0" fontId="238" fillId="3" borderId="710" xfId="2" applyFont="1" applyFill="1" applyBorder="1" applyAlignment="1" applyProtection="1">
      <alignment horizontal="left" vertical="top"/>
      <protection locked="0"/>
    </xf>
    <xf numFmtId="0" fontId="71" fillId="3" borderId="0" xfId="2" applyFont="1" applyFill="1" applyAlignment="1" applyProtection="1">
      <alignment horizontal="left"/>
      <protection hidden="1"/>
    </xf>
    <xf numFmtId="0" fontId="5" fillId="5" borderId="628" xfId="414" applyFont="1" applyFill="1" applyBorder="1" applyAlignment="1" applyProtection="1">
      <alignment horizontal="center"/>
      <protection locked="0"/>
    </xf>
    <xf numFmtId="1" fontId="5" fillId="3" borderId="628" xfId="414" applyNumberFormat="1" applyFont="1" applyFill="1" applyBorder="1" applyAlignment="1" applyProtection="1">
      <alignment horizontal="center"/>
      <protection hidden="1"/>
    </xf>
    <xf numFmtId="1" fontId="5" fillId="0" borderId="628" xfId="415" applyNumberFormat="1" applyFont="1" applyBorder="1" applyAlignment="1" applyProtection="1">
      <alignment horizontal="center"/>
      <protection hidden="1"/>
    </xf>
    <xf numFmtId="0" fontId="6" fillId="3" borderId="0" xfId="1" applyFont="1" applyFill="1" applyAlignment="1" applyProtection="1">
      <alignment horizontal="center"/>
      <protection hidden="1"/>
    </xf>
    <xf numFmtId="0" fontId="52" fillId="3" borderId="79" xfId="2" applyFont="1" applyFill="1" applyBorder="1" applyAlignment="1" applyProtection="1">
      <alignment horizontal="left"/>
      <protection hidden="1"/>
    </xf>
    <xf numFmtId="0" fontId="52" fillId="3" borderId="59" xfId="2" applyFont="1" applyFill="1" applyBorder="1" applyAlignment="1" applyProtection="1">
      <alignment horizontal="left"/>
      <protection hidden="1"/>
    </xf>
    <xf numFmtId="0" fontId="5" fillId="3" borderId="143" xfId="2" applyFill="1" applyBorder="1" applyAlignment="1" applyProtection="1">
      <protection hidden="1"/>
    </xf>
    <xf numFmtId="0" fontId="0" fillId="0" borderId="631" xfId="0" applyBorder="1" applyProtection="1">
      <protection hidden="1"/>
    </xf>
    <xf numFmtId="0" fontId="0" fillId="0" borderId="654" xfId="0" applyBorder="1" applyProtection="1">
      <protection hidden="1"/>
    </xf>
    <xf numFmtId="0" fontId="5" fillId="2" borderId="0" xfId="2" applyFill="1" applyBorder="1" applyAlignment="1" applyProtection="1">
      <alignment horizontal="left" wrapText="1"/>
      <protection hidden="1"/>
    </xf>
    <xf numFmtId="0" fontId="14" fillId="10" borderId="0" xfId="0" applyFont="1" applyFill="1" applyBorder="1" applyAlignment="1" applyProtection="1">
      <alignment horizontal="left"/>
      <protection hidden="1"/>
    </xf>
    <xf numFmtId="0" fontId="15" fillId="0" borderId="631" xfId="3" applyFont="1" applyBorder="1" applyAlignment="1" applyProtection="1">
      <alignment horizontal="center" vertical="top"/>
      <protection hidden="1"/>
    </xf>
    <xf numFmtId="0" fontId="5" fillId="3" borderId="734" xfId="2" applyFill="1" applyBorder="1" applyAlignment="1" applyProtection="1">
      <alignment horizontal="left"/>
      <protection hidden="1"/>
    </xf>
    <xf numFmtId="0" fontId="9" fillId="3" borderId="525" xfId="1" applyFont="1" applyFill="1" applyBorder="1" applyAlignment="1" applyProtection="1">
      <alignment horizontal="center"/>
      <protection hidden="1"/>
    </xf>
    <xf numFmtId="0" fontId="0" fillId="0" borderId="528" xfId="0" applyBorder="1" applyAlignment="1" applyProtection="1">
      <alignment horizontal="center"/>
      <protection hidden="1"/>
    </xf>
    <xf numFmtId="0" fontId="0" fillId="0" borderId="526" xfId="0" applyBorder="1" applyAlignment="1" applyProtection="1">
      <alignment horizontal="center"/>
      <protection hidden="1"/>
    </xf>
    <xf numFmtId="2" fontId="216" fillId="3" borderId="0" xfId="1" applyNumberFormat="1" applyFont="1" applyFill="1" applyAlignment="1" applyProtection="1">
      <alignment horizontal="right" textRotation="90"/>
      <protection hidden="1"/>
    </xf>
    <xf numFmtId="0" fontId="5" fillId="3" borderId="0" xfId="2" applyFill="1" applyBorder="1" applyAlignment="1" applyProtection="1">
      <alignment horizontal="right"/>
      <protection hidden="1"/>
    </xf>
    <xf numFmtId="2" fontId="5" fillId="0" borderId="489" xfId="2" applyNumberFormat="1" applyBorder="1" applyAlignment="1" applyProtection="1">
      <alignment horizontal="center"/>
      <protection hidden="1"/>
    </xf>
    <xf numFmtId="0" fontId="0" fillId="0" borderId="531" xfId="0" applyBorder="1" applyProtection="1">
      <protection hidden="1"/>
    </xf>
    <xf numFmtId="0" fontId="0" fillId="0" borderId="530" xfId="0" applyBorder="1" applyProtection="1">
      <protection hidden="1"/>
    </xf>
    <xf numFmtId="0" fontId="54" fillId="0" borderId="302" xfId="1" applyFont="1" applyBorder="1" applyAlignment="1" applyProtection="1">
      <alignment horizontal="center"/>
      <protection hidden="1"/>
    </xf>
    <xf numFmtId="0" fontId="26" fillId="0" borderId="0" xfId="1" applyFont="1" applyAlignment="1" applyProtection="1">
      <alignment horizontal="center"/>
      <protection hidden="1"/>
    </xf>
    <xf numFmtId="0" fontId="26" fillId="0" borderId="123" xfId="1" applyFont="1" applyBorder="1" applyAlignment="1" applyProtection="1">
      <alignment horizontal="center"/>
      <protection hidden="1"/>
    </xf>
    <xf numFmtId="0" fontId="54" fillId="0" borderId="123" xfId="1" applyFont="1" applyBorder="1" applyAlignment="1" applyProtection="1">
      <alignment horizontal="center"/>
      <protection hidden="1"/>
    </xf>
    <xf numFmtId="0" fontId="5" fillId="3" borderId="0" xfId="1" applyFont="1" applyFill="1" applyBorder="1" applyAlignment="1" applyProtection="1">
      <alignment horizontal="center" vertical="top" wrapText="1"/>
      <protection hidden="1"/>
    </xf>
    <xf numFmtId="0" fontId="44" fillId="4" borderId="0" xfId="2" applyFont="1" applyFill="1" applyAlignment="1" applyProtection="1">
      <alignment horizontal="center"/>
      <protection hidden="1"/>
    </xf>
    <xf numFmtId="164" fontId="5" fillId="3" borderId="84" xfId="2" applyNumberFormat="1" applyFill="1" applyBorder="1" applyAlignment="1" applyProtection="1">
      <alignment horizontal="left"/>
      <protection hidden="1"/>
    </xf>
    <xf numFmtId="0" fontId="5" fillId="3" borderId="516" xfId="2" applyFill="1" applyBorder="1" applyAlignment="1" applyProtection="1">
      <alignment horizontal="center"/>
      <protection hidden="1"/>
    </xf>
    <xf numFmtId="0" fontId="0" fillId="0" borderId="515" xfId="0" applyBorder="1" applyProtection="1">
      <protection hidden="1"/>
    </xf>
    <xf numFmtId="0" fontId="0" fillId="0" borderId="533" xfId="0" applyBorder="1" applyProtection="1">
      <protection hidden="1"/>
    </xf>
    <xf numFmtId="0" fontId="29" fillId="3" borderId="18" xfId="2" applyFont="1" applyFill="1" applyBorder="1" applyAlignment="1" applyProtection="1">
      <alignment horizontal="center"/>
      <protection hidden="1"/>
    </xf>
    <xf numFmtId="1" fontId="5" fillId="3" borderId="525" xfId="2" applyNumberFormat="1" applyFill="1" applyBorder="1" applyAlignment="1" applyProtection="1">
      <alignment horizontal="left"/>
      <protection hidden="1"/>
    </xf>
    <xf numFmtId="0" fontId="0" fillId="0" borderId="528" xfId="0" applyBorder="1" applyProtection="1">
      <protection hidden="1"/>
    </xf>
    <xf numFmtId="0" fontId="0" fillId="0" borderId="534" xfId="0" applyBorder="1" applyProtection="1">
      <protection hidden="1"/>
    </xf>
    <xf numFmtId="0" fontId="5" fillId="3" borderId="34" xfId="0" applyFont="1" applyFill="1" applyBorder="1" applyAlignment="1" applyProtection="1">
      <protection hidden="1"/>
    </xf>
    <xf numFmtId="0" fontId="0" fillId="0" borderId="35" xfId="0" applyBorder="1" applyProtection="1">
      <protection hidden="1"/>
    </xf>
    <xf numFmtId="0" fontId="34" fillId="2" borderId="35" xfId="2" applyFont="1" applyFill="1" applyBorder="1" applyAlignment="1" applyProtection="1">
      <alignment horizontal="left"/>
      <protection hidden="1"/>
    </xf>
    <xf numFmtId="0" fontId="0" fillId="0" borderId="38" xfId="0" applyBorder="1" applyProtection="1">
      <protection hidden="1"/>
    </xf>
    <xf numFmtId="164" fontId="5" fillId="3" borderId="24" xfId="2" applyNumberFormat="1" applyFill="1" applyBorder="1" applyAlignment="1" applyProtection="1">
      <alignment horizontal="left"/>
      <protection hidden="1"/>
    </xf>
    <xf numFmtId="0" fontId="0" fillId="0" borderId="25" xfId="0" applyBorder="1" applyProtection="1">
      <protection hidden="1"/>
    </xf>
    <xf numFmtId="0" fontId="0" fillId="0" borderId="113" xfId="0" applyBorder="1" applyProtection="1">
      <protection hidden="1"/>
    </xf>
    <xf numFmtId="0" fontId="31" fillId="3" borderId="18" xfId="2" applyFont="1" applyFill="1" applyBorder="1" applyAlignment="1" applyProtection="1">
      <alignment horizontal="center"/>
      <protection hidden="1"/>
    </xf>
    <xf numFmtId="0" fontId="0" fillId="0" borderId="527" xfId="0" applyBorder="1" applyProtection="1">
      <protection hidden="1"/>
    </xf>
    <xf numFmtId="0" fontId="5" fillId="3" borderId="24" xfId="0" applyFont="1" applyFill="1" applyBorder="1" applyAlignment="1" applyProtection="1">
      <alignment horizontal="left"/>
      <protection hidden="1"/>
    </xf>
    <xf numFmtId="0" fontId="5" fillId="3" borderId="153" xfId="2" applyFill="1" applyBorder="1" applyAlignment="1" applyProtection="1">
      <protection hidden="1"/>
    </xf>
    <xf numFmtId="0" fontId="283" fillId="4" borderId="0" xfId="2" applyFont="1" applyFill="1" applyAlignment="1" applyProtection="1">
      <alignment horizontal="center"/>
      <protection hidden="1"/>
    </xf>
    <xf numFmtId="0" fontId="5" fillId="3" borderId="525" xfId="2" applyFont="1" applyFill="1" applyBorder="1" applyAlignment="1" applyProtection="1">
      <protection hidden="1"/>
    </xf>
    <xf numFmtId="164" fontId="5" fillId="3" borderId="532" xfId="2" applyNumberFormat="1" applyFill="1" applyBorder="1" applyAlignment="1" applyProtection="1">
      <alignment horizontal="left"/>
      <protection hidden="1"/>
    </xf>
    <xf numFmtId="0" fontId="5" fillId="3" borderId="302" xfId="2" applyFill="1" applyBorder="1" applyAlignment="1" applyProtection="1">
      <protection hidden="1"/>
    </xf>
    <xf numFmtId="0" fontId="5" fillId="3" borderId="84" xfId="2" applyFill="1" applyBorder="1" applyAlignment="1" applyProtection="1">
      <protection hidden="1"/>
    </xf>
    <xf numFmtId="0" fontId="26" fillId="3" borderId="489" xfId="2" applyFont="1" applyFill="1" applyBorder="1" applyAlignment="1" applyProtection="1">
      <alignment horizontal="left"/>
      <protection hidden="1"/>
    </xf>
    <xf numFmtId="0" fontId="0" fillId="0" borderId="536" xfId="0" applyBorder="1" applyProtection="1">
      <protection hidden="1"/>
    </xf>
    <xf numFmtId="0" fontId="30" fillId="3" borderId="18" xfId="2" applyFont="1" applyFill="1" applyBorder="1" applyAlignment="1" applyProtection="1">
      <alignment horizontal="center"/>
      <protection hidden="1"/>
    </xf>
    <xf numFmtId="0" fontId="16" fillId="3" borderId="302" xfId="0" applyFont="1" applyFill="1" applyBorder="1" applyAlignment="1" applyProtection="1">
      <protection hidden="1"/>
    </xf>
    <xf numFmtId="0" fontId="36" fillId="2" borderId="0" xfId="2" applyFont="1" applyFill="1" applyBorder="1" applyAlignment="1" applyProtection="1">
      <alignment horizontal="left"/>
      <protection hidden="1"/>
    </xf>
    <xf numFmtId="0" fontId="15" fillId="0" borderId="193" xfId="3" applyFont="1" applyBorder="1" applyAlignment="1" applyProtection="1">
      <alignment horizontal="center" vertical="top" wrapText="1"/>
      <protection hidden="1"/>
    </xf>
    <xf numFmtId="0" fontId="15" fillId="0" borderId="128" xfId="3" applyFont="1" applyBorder="1" applyAlignment="1" applyProtection="1">
      <alignment horizontal="center" vertical="top" wrapText="1"/>
      <protection hidden="1"/>
    </xf>
    <xf numFmtId="1" fontId="26" fillId="3" borderId="34" xfId="2" applyNumberFormat="1" applyFont="1" applyFill="1" applyBorder="1" applyAlignment="1" applyProtection="1">
      <alignment horizontal="left"/>
      <protection hidden="1"/>
    </xf>
    <xf numFmtId="0" fontId="0" fillId="0" borderId="37" xfId="0" applyBorder="1" applyProtection="1">
      <protection hidden="1"/>
    </xf>
    <xf numFmtId="0" fontId="38" fillId="3" borderId="24" xfId="0" applyFont="1" applyFill="1" applyBorder="1" applyAlignment="1" applyProtection="1">
      <protection hidden="1"/>
    </xf>
    <xf numFmtId="0" fontId="40" fillId="2" borderId="25" xfId="2" applyFont="1" applyFill="1" applyBorder="1" applyAlignment="1" applyProtection="1">
      <alignment horizontal="left"/>
      <protection hidden="1"/>
    </xf>
    <xf numFmtId="0" fontId="0" fillId="0" borderId="30" xfId="0" applyBorder="1" applyProtection="1">
      <protection hidden="1"/>
    </xf>
    <xf numFmtId="164" fontId="5" fillId="3" borderId="123" xfId="2" applyNumberFormat="1" applyFill="1" applyBorder="1" applyAlignment="1" applyProtection="1">
      <alignment horizontal="left"/>
      <protection hidden="1"/>
    </xf>
    <xf numFmtId="0" fontId="0" fillId="0" borderId="32" xfId="0" applyBorder="1" applyProtection="1">
      <protection hidden="1"/>
    </xf>
    <xf numFmtId="0" fontId="14" fillId="3" borderId="0" xfId="2" applyFont="1" applyFill="1" applyAlignment="1" applyProtection="1">
      <alignment horizontal="right"/>
      <protection hidden="1"/>
    </xf>
    <xf numFmtId="164" fontId="5" fillId="3" borderId="0" xfId="2" applyNumberFormat="1" applyFill="1" applyAlignment="1" applyProtection="1">
      <protection hidden="1"/>
    </xf>
    <xf numFmtId="0" fontId="5" fillId="3" borderId="535" xfId="1" applyFont="1" applyFill="1" applyBorder="1" applyAlignment="1" applyProtection="1">
      <alignment horizontal="left" vertical="center"/>
      <protection hidden="1"/>
    </xf>
    <xf numFmtId="0" fontId="0" fillId="0" borderId="535" xfId="0" applyBorder="1" applyProtection="1">
      <protection hidden="1"/>
    </xf>
    <xf numFmtId="0" fontId="5" fillId="3" borderId="0" xfId="1" applyFont="1" applyFill="1" applyAlignment="1" applyProtection="1">
      <protection hidden="1"/>
    </xf>
    <xf numFmtId="0" fontId="21" fillId="3" borderId="489" xfId="1" applyFont="1" applyFill="1" applyBorder="1" applyAlignment="1" applyProtection="1">
      <alignment horizontal="right"/>
      <protection hidden="1"/>
    </xf>
    <xf numFmtId="0" fontId="22" fillId="5" borderId="531" xfId="5" applyFont="1" applyFill="1" applyBorder="1" applyAlignment="1" applyProtection="1">
      <protection locked="0"/>
    </xf>
    <xf numFmtId="0" fontId="0" fillId="0" borderId="531" xfId="0" applyBorder="1" applyProtection="1">
      <protection locked="0"/>
    </xf>
    <xf numFmtId="0" fontId="0" fillId="0" borderId="530" xfId="0" applyBorder="1" applyProtection="1">
      <protection locked="0"/>
    </xf>
    <xf numFmtId="0" fontId="21" fillId="3" borderId="543" xfId="2" applyFont="1" applyFill="1" applyBorder="1" applyAlignment="1" applyProtection="1">
      <alignment horizontal="center" vertical="center" wrapText="1"/>
      <protection hidden="1"/>
    </xf>
    <xf numFmtId="0" fontId="0" fillId="0" borderId="531" xfId="0" applyBorder="1" applyAlignment="1" applyProtection="1">
      <alignment horizontal="center" vertical="center"/>
      <protection hidden="1"/>
    </xf>
    <xf numFmtId="0" fontId="0" fillId="0" borderId="530" xfId="0" applyBorder="1" applyAlignment="1" applyProtection="1">
      <alignment horizontal="center" vertical="center"/>
      <protection hidden="1"/>
    </xf>
    <xf numFmtId="0" fontId="2" fillId="2" borderId="0" xfId="0" applyFont="1" applyFill="1" applyAlignment="1" applyProtection="1">
      <alignment horizontal="left"/>
      <protection hidden="1"/>
    </xf>
    <xf numFmtId="0" fontId="5" fillId="3" borderId="123" xfId="2" applyFont="1" applyFill="1" applyBorder="1" applyAlignment="1" applyProtection="1">
      <protection hidden="1"/>
    </xf>
    <xf numFmtId="0" fontId="5" fillId="3" borderId="39" xfId="2" applyFill="1" applyBorder="1" applyAlignment="1" applyProtection="1">
      <alignment horizontal="left"/>
      <protection hidden="1"/>
    </xf>
    <xf numFmtId="0" fontId="0" fillId="0" borderId="40" xfId="0" applyBorder="1" applyProtection="1">
      <protection hidden="1"/>
    </xf>
    <xf numFmtId="0" fontId="42" fillId="3" borderId="40" xfId="2" applyFont="1" applyFill="1" applyBorder="1" applyAlignment="1" applyProtection="1">
      <alignment horizontal="left"/>
      <protection hidden="1"/>
    </xf>
    <xf numFmtId="0" fontId="42" fillId="3" borderId="286" xfId="2" applyFont="1" applyFill="1" applyBorder="1" applyAlignment="1" applyProtection="1">
      <alignment horizontal="left"/>
      <protection hidden="1"/>
    </xf>
    <xf numFmtId="164" fontId="5" fillId="3" borderId="516" xfId="2" applyNumberFormat="1" applyFill="1" applyBorder="1" applyAlignment="1" applyProtection="1">
      <alignment horizontal="left"/>
      <protection hidden="1"/>
    </xf>
    <xf numFmtId="2" fontId="5" fillId="3" borderId="328" xfId="1" applyNumberFormat="1" applyFont="1" applyFill="1" applyBorder="1" applyAlignment="1" applyProtection="1">
      <alignment horizontal="center" vertical="top"/>
      <protection hidden="1"/>
    </xf>
    <xf numFmtId="0" fontId="44" fillId="3" borderId="0" xfId="2" applyFont="1" applyFill="1" applyAlignment="1" applyProtection="1">
      <alignment horizontal="center"/>
      <protection hidden="1"/>
    </xf>
    <xf numFmtId="0" fontId="47" fillId="3" borderId="489" xfId="2" applyFont="1" applyFill="1" applyBorder="1" applyAlignment="1" applyProtection="1">
      <alignment horizontal="left"/>
      <protection hidden="1"/>
    </xf>
    <xf numFmtId="0" fontId="183" fillId="3" borderId="595" xfId="1" applyFont="1" applyFill="1" applyBorder="1" applyAlignment="1" applyProtection="1">
      <alignment horizontal="center"/>
      <protection hidden="1"/>
    </xf>
    <xf numFmtId="0" fontId="0" fillId="0" borderId="526" xfId="0" applyBorder="1" applyProtection="1">
      <protection hidden="1"/>
    </xf>
    <xf numFmtId="0" fontId="49" fillId="3" borderId="595" xfId="1" applyFont="1" applyFill="1" applyBorder="1" applyAlignment="1" applyProtection="1">
      <alignment horizontal="center"/>
      <protection hidden="1"/>
    </xf>
    <xf numFmtId="49" fontId="27" fillId="0" borderId="0" xfId="1" applyNumberFormat="1" applyFont="1" applyAlignment="1" applyProtection="1">
      <alignment horizontal="center"/>
      <protection hidden="1"/>
    </xf>
    <xf numFmtId="0" fontId="0" fillId="49" borderId="537" xfId="0" applyFont="1" applyFill="1" applyBorder="1" applyAlignment="1" applyProtection="1">
      <alignment horizontal="center" vertical="center" textRotation="90"/>
      <protection hidden="1"/>
    </xf>
    <xf numFmtId="0" fontId="0" fillId="0" borderId="154" xfId="0" applyBorder="1" applyProtection="1">
      <protection hidden="1"/>
    </xf>
    <xf numFmtId="0" fontId="0" fillId="0" borderId="74" xfId="0" applyBorder="1" applyProtection="1">
      <protection hidden="1"/>
    </xf>
    <xf numFmtId="0" fontId="26" fillId="4" borderId="538" xfId="1" applyFont="1" applyFill="1" applyBorder="1" applyAlignment="1" applyProtection="1">
      <alignment horizontal="center"/>
      <protection hidden="1"/>
    </xf>
    <xf numFmtId="0" fontId="0" fillId="0" borderId="47" xfId="0" applyBorder="1" applyAlignment="1" applyProtection="1">
      <alignment horizontal="center"/>
      <protection hidden="1"/>
    </xf>
    <xf numFmtId="0" fontId="5" fillId="4" borderId="538" xfId="1" applyFont="1" applyFill="1" applyBorder="1" applyAlignment="1" applyProtection="1">
      <alignment horizontal="left"/>
      <protection hidden="1"/>
    </xf>
    <xf numFmtId="0" fontId="0" fillId="0" borderId="47" xfId="0" applyBorder="1" applyProtection="1">
      <protection hidden="1"/>
    </xf>
    <xf numFmtId="0" fontId="52" fillId="4" borderId="539" xfId="2" applyFont="1" applyFill="1" applyBorder="1" applyAlignment="1" applyProtection="1">
      <alignment horizontal="center"/>
      <protection hidden="1"/>
    </xf>
    <xf numFmtId="0" fontId="0" fillId="0" borderId="48" xfId="0" applyBorder="1" applyAlignment="1" applyProtection="1">
      <alignment horizontal="center"/>
      <protection hidden="1"/>
    </xf>
    <xf numFmtId="0" fontId="52" fillId="4" borderId="700" xfId="0" applyFont="1" applyFill="1" applyBorder="1" applyAlignment="1" applyProtection="1">
      <alignment horizontal="center" wrapText="1"/>
      <protection hidden="1"/>
    </xf>
    <xf numFmtId="0" fontId="0" fillId="0" borderId="701" xfId="0" applyBorder="1" applyAlignment="1" applyProtection="1">
      <alignment horizontal="center"/>
      <protection hidden="1"/>
    </xf>
    <xf numFmtId="0" fontId="27" fillId="3" borderId="641" xfId="1" applyFont="1" applyFill="1" applyBorder="1" applyAlignment="1" applyProtection="1">
      <alignment horizontal="center"/>
      <protection hidden="1"/>
    </xf>
    <xf numFmtId="0" fontId="0" fillId="0" borderId="0" xfId="0" applyBorder="1" applyProtection="1">
      <protection hidden="1"/>
    </xf>
    <xf numFmtId="0" fontId="41" fillId="3" borderId="641" xfId="2" applyFont="1" applyFill="1" applyBorder="1" applyAlignment="1" applyProtection="1">
      <alignment horizontal="center" wrapText="1"/>
      <protection hidden="1"/>
    </xf>
    <xf numFmtId="0" fontId="0" fillId="0" borderId="494" xfId="0" applyBorder="1" applyProtection="1">
      <protection hidden="1"/>
    </xf>
    <xf numFmtId="0" fontId="0" fillId="0" borderId="495" xfId="0" applyBorder="1" applyProtection="1">
      <protection hidden="1"/>
    </xf>
    <xf numFmtId="0" fontId="35" fillId="3" borderId="494" xfId="2" applyFont="1" applyFill="1" applyBorder="1" applyAlignment="1" applyProtection="1">
      <alignment horizontal="center"/>
      <protection hidden="1"/>
    </xf>
    <xf numFmtId="0" fontId="37" fillId="3" borderId="494" xfId="2" applyFont="1" applyFill="1" applyBorder="1" applyAlignment="1" applyProtection="1">
      <alignment horizontal="center"/>
      <protection hidden="1"/>
    </xf>
    <xf numFmtId="0" fontId="9" fillId="0" borderId="79" xfId="2" applyFont="1" applyBorder="1" applyAlignment="1" applyProtection="1">
      <protection hidden="1"/>
    </xf>
    <xf numFmtId="0" fontId="0" fillId="0" borderId="79" xfId="0" applyBorder="1" applyProtection="1">
      <protection hidden="1"/>
    </xf>
    <xf numFmtId="0" fontId="0" fillId="0" borderId="58" xfId="0" applyBorder="1" applyProtection="1">
      <protection hidden="1"/>
    </xf>
    <xf numFmtId="0" fontId="5" fillId="4" borderId="263" xfId="2" applyFill="1" applyBorder="1" applyAlignment="1" applyProtection="1">
      <alignment horizontal="center" wrapText="1"/>
      <protection hidden="1"/>
    </xf>
    <xf numFmtId="0" fontId="32" fillId="2" borderId="655" xfId="1" applyFont="1" applyFill="1" applyBorder="1" applyAlignment="1" applyProtection="1">
      <alignment horizontal="left"/>
      <protection hidden="1"/>
    </xf>
    <xf numFmtId="0" fontId="15" fillId="0" borderId="655" xfId="3" applyFont="1" applyBorder="1" applyAlignment="1" applyProtection="1">
      <protection hidden="1"/>
    </xf>
    <xf numFmtId="0" fontId="15" fillId="0" borderId="631" xfId="3" applyFont="1" applyBorder="1" applyAlignment="1" applyProtection="1">
      <protection hidden="1"/>
    </xf>
    <xf numFmtId="0" fontId="15" fillId="0" borderId="654" xfId="3" applyFont="1" applyBorder="1" applyAlignment="1" applyProtection="1">
      <protection hidden="1"/>
    </xf>
    <xf numFmtId="0" fontId="9" fillId="0" borderId="595" xfId="1" applyFont="1" applyBorder="1" applyAlignment="1" applyProtection="1">
      <alignment horizontal="left"/>
      <protection hidden="1"/>
    </xf>
    <xf numFmtId="0" fontId="34" fillId="0" borderId="595" xfId="6" applyFont="1" applyBorder="1" applyAlignment="1" applyProtection="1">
      <alignment horizontal="center" vertical="center" wrapText="1"/>
      <protection hidden="1"/>
    </xf>
    <xf numFmtId="0" fontId="36" fillId="0" borderId="595" xfId="6" applyFont="1" applyBorder="1" applyAlignment="1" applyProtection="1">
      <alignment horizontal="center" vertical="center" wrapText="1"/>
      <protection hidden="1"/>
    </xf>
    <xf numFmtId="0" fontId="0" fillId="17" borderId="73" xfId="0" applyFont="1" applyFill="1" applyBorder="1" applyAlignment="1" applyProtection="1">
      <alignment horizontal="center" vertical="center" textRotation="90" wrapText="1"/>
      <protection hidden="1"/>
    </xf>
    <xf numFmtId="0" fontId="308" fillId="12" borderId="66" xfId="1" applyFont="1" applyFill="1" applyBorder="1" applyAlignment="1" applyProtection="1">
      <alignment horizontal="center" vertical="center"/>
    </xf>
    <xf numFmtId="0" fontId="308" fillId="0" borderId="47" xfId="0" applyFont="1" applyBorder="1" applyAlignment="1" applyProtection="1">
      <alignment vertical="center"/>
    </xf>
    <xf numFmtId="0" fontId="32" fillId="2" borderId="0" xfId="2" applyFont="1" applyFill="1" applyBorder="1" applyAlignment="1" applyProtection="1">
      <alignment horizontal="left" vertical="center"/>
      <protection hidden="1"/>
    </xf>
    <xf numFmtId="164" fontId="40" fillId="0" borderId="595" xfId="2" applyNumberFormat="1" applyFont="1" applyBorder="1" applyAlignment="1" applyProtection="1">
      <alignment horizontal="center" vertical="center" wrapText="1"/>
      <protection hidden="1"/>
    </xf>
    <xf numFmtId="0" fontId="5" fillId="3" borderId="595" xfId="1" applyFont="1" applyFill="1" applyBorder="1" applyAlignment="1" applyProtection="1">
      <alignment horizontal="left"/>
      <protection hidden="1"/>
    </xf>
    <xf numFmtId="0" fontId="5" fillId="3" borderId="123" xfId="2" applyFont="1" applyFill="1" applyBorder="1" applyAlignment="1" applyProtection="1">
      <alignment horizontal="left" vertical="top" wrapText="1"/>
      <protection hidden="1"/>
    </xf>
    <xf numFmtId="0" fontId="0" fillId="0" borderId="516" xfId="0" applyBorder="1" applyProtection="1">
      <protection hidden="1"/>
    </xf>
    <xf numFmtId="0" fontId="5" fillId="0" borderId="0" xfId="1" applyFont="1" applyBorder="1" applyAlignment="1" applyProtection="1">
      <alignment horizontal="left"/>
      <protection hidden="1"/>
    </xf>
    <xf numFmtId="0" fontId="303" fillId="0" borderId="0" xfId="1" applyFont="1" applyBorder="1" applyAlignment="1" applyProtection="1">
      <alignment horizontal="center"/>
      <protection hidden="1"/>
    </xf>
    <xf numFmtId="0" fontId="99" fillId="0" borderId="301" xfId="0" applyFont="1" applyBorder="1" applyAlignment="1" applyProtection="1">
      <alignment horizontal="center"/>
      <protection hidden="1"/>
    </xf>
    <xf numFmtId="0" fontId="44" fillId="3" borderId="39" xfId="2" applyFont="1" applyFill="1" applyBorder="1" applyAlignment="1" applyProtection="1">
      <alignment horizontal="left"/>
      <protection hidden="1"/>
    </xf>
    <xf numFmtId="0" fontId="0" fillId="0" borderId="77" xfId="0" applyBorder="1" applyProtection="1">
      <protection hidden="1"/>
    </xf>
    <xf numFmtId="0" fontId="67" fillId="0" borderId="0" xfId="2" applyFont="1" applyBorder="1" applyAlignment="1" applyProtection="1">
      <alignment horizontal="left"/>
      <protection hidden="1"/>
    </xf>
    <xf numFmtId="0" fontId="5" fillId="4" borderId="123" xfId="0" applyFont="1" applyFill="1" applyBorder="1" applyAlignment="1" applyProtection="1">
      <alignment horizontal="left"/>
      <protection hidden="1"/>
    </xf>
    <xf numFmtId="1" fontId="9" fillId="0" borderId="641" xfId="1" applyNumberFormat="1" applyFont="1" applyBorder="1" applyAlignment="1" applyProtection="1">
      <protection hidden="1"/>
    </xf>
    <xf numFmtId="0" fontId="32" fillId="3" borderId="226" xfId="2" applyFont="1" applyFill="1" applyBorder="1" applyAlignment="1" applyProtection="1">
      <protection hidden="1"/>
    </xf>
    <xf numFmtId="0" fontId="5" fillId="0" borderId="641" xfId="1" applyFont="1" applyBorder="1" applyAlignment="1" applyProtection="1">
      <alignment horizontal="left"/>
      <protection hidden="1"/>
    </xf>
    <xf numFmtId="0" fontId="9" fillId="0" borderId="494" xfId="2" applyFont="1" applyBorder="1" applyAlignment="1" applyProtection="1">
      <alignment horizontal="left"/>
      <protection hidden="1"/>
    </xf>
    <xf numFmtId="0" fontId="51" fillId="4" borderId="0" xfId="0" applyFont="1" applyFill="1" applyBorder="1" applyAlignment="1" applyProtection="1">
      <alignment horizontal="center" vertical="center"/>
      <protection hidden="1"/>
    </xf>
    <xf numFmtId="0" fontId="5" fillId="5" borderId="655" xfId="2" applyFont="1" applyFill="1" applyBorder="1" applyAlignment="1" applyProtection="1">
      <alignment horizontal="center"/>
      <protection locked="0"/>
    </xf>
    <xf numFmtId="0" fontId="5" fillId="5" borderId="654" xfId="2" applyFont="1" applyFill="1" applyBorder="1" applyAlignment="1" applyProtection="1">
      <alignment horizontal="center"/>
      <protection locked="0"/>
    </xf>
    <xf numFmtId="0" fontId="26" fillId="3" borderId="655" xfId="1" applyFont="1" applyFill="1" applyBorder="1" applyAlignment="1" applyProtection="1">
      <alignment horizontal="left"/>
      <protection hidden="1"/>
    </xf>
    <xf numFmtId="0" fontId="35" fillId="3" borderId="631" xfId="1" applyFont="1" applyFill="1" applyBorder="1" applyAlignment="1" applyProtection="1">
      <alignment horizontal="center"/>
      <protection hidden="1"/>
    </xf>
    <xf numFmtId="0" fontId="37" fillId="3" borderId="631" xfId="1" applyFont="1" applyFill="1" applyBorder="1" applyAlignment="1" applyProtection="1">
      <alignment horizontal="center"/>
      <protection hidden="1"/>
    </xf>
    <xf numFmtId="0" fontId="34" fillId="4" borderId="595" xfId="2" applyFont="1" applyFill="1" applyBorder="1" applyAlignment="1" applyProtection="1">
      <alignment horizontal="center" vertical="top" wrapText="1"/>
      <protection hidden="1"/>
    </xf>
    <xf numFmtId="0" fontId="0" fillId="0" borderId="641" xfId="0" applyBorder="1" applyProtection="1">
      <protection hidden="1"/>
    </xf>
    <xf numFmtId="0" fontId="36" fillId="4" borderId="595" xfId="2" applyFont="1" applyFill="1" applyBorder="1" applyAlignment="1" applyProtection="1">
      <alignment horizontal="center" vertical="top" wrapText="1"/>
      <protection hidden="1"/>
    </xf>
    <xf numFmtId="0" fontId="15" fillId="0" borderId="494" xfId="3" applyFont="1" applyBorder="1" applyAlignment="1" applyProtection="1">
      <protection hidden="1"/>
    </xf>
    <xf numFmtId="0" fontId="15" fillId="0" borderId="495" xfId="3" applyFont="1" applyBorder="1" applyAlignment="1" applyProtection="1">
      <protection hidden="1"/>
    </xf>
    <xf numFmtId="0" fontId="5" fillId="3" borderId="494" xfId="1" applyFont="1" applyFill="1" applyBorder="1" applyAlignment="1" applyProtection="1">
      <alignment horizontal="center"/>
      <protection hidden="1"/>
    </xf>
    <xf numFmtId="0" fontId="5" fillId="3" borderId="515" xfId="1" applyFont="1" applyFill="1" applyBorder="1" applyAlignment="1" applyProtection="1">
      <alignment horizontal="center"/>
      <protection hidden="1"/>
    </xf>
    <xf numFmtId="0" fontId="44" fillId="3" borderId="500" xfId="2" applyFont="1" applyFill="1" applyBorder="1" applyAlignment="1" applyProtection="1">
      <protection hidden="1"/>
    </xf>
    <xf numFmtId="0" fontId="0" fillId="0" borderId="121" xfId="0" applyBorder="1" applyProtection="1">
      <protection hidden="1"/>
    </xf>
    <xf numFmtId="0" fontId="0" fillId="0" borderId="122" xfId="0" applyBorder="1" applyProtection="1">
      <protection hidden="1"/>
    </xf>
    <xf numFmtId="0" fontId="5" fillId="3" borderId="655" xfId="2" applyFont="1" applyFill="1" applyBorder="1" applyAlignment="1" applyProtection="1">
      <alignment horizontal="center"/>
      <protection hidden="1"/>
    </xf>
    <xf numFmtId="0" fontId="5" fillId="3" borderId="654" xfId="2" applyFont="1" applyFill="1" applyBorder="1" applyAlignment="1" applyProtection="1">
      <alignment horizontal="center"/>
      <protection hidden="1"/>
    </xf>
    <xf numFmtId="2" fontId="5" fillId="0" borderId="655" xfId="0" applyNumberFormat="1" applyFont="1" applyBorder="1" applyAlignment="1" applyProtection="1">
      <alignment horizontal="center"/>
      <protection hidden="1"/>
    </xf>
    <xf numFmtId="2" fontId="5" fillId="0" borderId="654" xfId="0" applyNumberFormat="1" applyFont="1" applyBorder="1" applyAlignment="1" applyProtection="1">
      <alignment horizontal="center"/>
      <protection hidden="1"/>
    </xf>
    <xf numFmtId="2" fontId="40" fillId="3" borderId="595" xfId="2" applyNumberFormat="1" applyFont="1" applyFill="1" applyBorder="1" applyAlignment="1" applyProtection="1">
      <alignment horizontal="center" vertical="top" wrapText="1"/>
      <protection hidden="1"/>
    </xf>
    <xf numFmtId="0" fontId="27" fillId="3" borderId="226" xfId="2" applyFont="1" applyFill="1" applyBorder="1" applyAlignment="1" applyProtection="1">
      <protection hidden="1"/>
    </xf>
    <xf numFmtId="0" fontId="5" fillId="3" borderId="543" xfId="2" applyFont="1" applyFill="1" applyBorder="1" applyAlignment="1" applyProtection="1">
      <alignment horizontal="center"/>
      <protection hidden="1"/>
    </xf>
    <xf numFmtId="0" fontId="5" fillId="3" borderId="530" xfId="2" applyFont="1" applyFill="1" applyBorder="1" applyAlignment="1" applyProtection="1">
      <alignment horizontal="center"/>
      <protection hidden="1"/>
    </xf>
    <xf numFmtId="0" fontId="9" fillId="3" borderId="641" xfId="2" applyFont="1" applyFill="1" applyBorder="1" applyAlignment="1" applyProtection="1">
      <alignment horizontal="left" vertical="top" wrapText="1"/>
      <protection hidden="1"/>
    </xf>
    <xf numFmtId="0" fontId="5" fillId="2" borderId="0" xfId="2" applyFill="1" applyAlignment="1" applyProtection="1">
      <alignment horizontal="left"/>
      <protection hidden="1"/>
    </xf>
    <xf numFmtId="0" fontId="5" fillId="0" borderId="226" xfId="1" applyFont="1" applyBorder="1" applyAlignment="1" applyProtection="1">
      <protection hidden="1"/>
    </xf>
    <xf numFmtId="0" fontId="5" fillId="4" borderId="97" xfId="0" applyFont="1" applyFill="1" applyBorder="1" applyAlignment="1" applyProtection="1">
      <alignment horizontal="left"/>
      <protection hidden="1"/>
    </xf>
    <xf numFmtId="0" fontId="0" fillId="0" borderId="98" xfId="0" applyBorder="1" applyProtection="1">
      <protection hidden="1"/>
    </xf>
    <xf numFmtId="0" fontId="1" fillId="4" borderId="0" xfId="0" applyFont="1" applyFill="1" applyAlignment="1" applyProtection="1">
      <protection hidden="1"/>
    </xf>
    <xf numFmtId="0" fontId="5" fillId="0" borderId="100" xfId="1" applyFont="1" applyBorder="1" applyAlignment="1" applyProtection="1">
      <protection hidden="1"/>
    </xf>
    <xf numFmtId="0" fontId="0" fillId="0" borderId="156" xfId="0" applyBorder="1" applyProtection="1">
      <protection hidden="1"/>
    </xf>
    <xf numFmtId="0" fontId="64" fillId="2" borderId="595" xfId="2" applyFont="1" applyFill="1" applyBorder="1" applyAlignment="1" applyProtection="1">
      <alignment horizontal="left" vertical="top"/>
      <protection locked="0"/>
    </xf>
    <xf numFmtId="0" fontId="64" fillId="2" borderId="342" xfId="2" applyFont="1" applyFill="1" applyBorder="1" applyAlignment="1" applyProtection="1">
      <alignment horizontal="left" vertical="top"/>
      <protection locked="0"/>
    </xf>
    <xf numFmtId="0" fontId="64" fillId="2" borderId="572" xfId="2" applyFont="1" applyFill="1" applyBorder="1" applyAlignment="1" applyProtection="1">
      <alignment horizontal="left" vertical="top"/>
      <protection locked="0"/>
    </xf>
    <xf numFmtId="0" fontId="64" fillId="2" borderId="302" xfId="2" applyFont="1" applyFill="1" applyBorder="1" applyAlignment="1" applyProtection="1">
      <alignment horizontal="left" vertical="top"/>
      <protection locked="0"/>
    </xf>
    <xf numFmtId="0" fontId="64" fillId="2" borderId="0" xfId="2" applyFont="1" applyFill="1" applyBorder="1" applyAlignment="1" applyProtection="1">
      <alignment horizontal="left" vertical="top"/>
      <protection locked="0"/>
    </xf>
    <xf numFmtId="0" fontId="64" fillId="2" borderId="301" xfId="2" applyFont="1" applyFill="1" applyBorder="1" applyAlignment="1" applyProtection="1">
      <alignment horizontal="left" vertical="top"/>
      <protection locked="0"/>
    </xf>
    <xf numFmtId="0" fontId="64" fillId="2" borderId="641" xfId="2" applyFont="1" applyFill="1" applyBorder="1" applyAlignment="1" applyProtection="1">
      <alignment horizontal="left" vertical="top"/>
      <protection locked="0"/>
    </xf>
    <xf numFmtId="0" fontId="64" fillId="2" borderId="516" xfId="2" applyFont="1" applyFill="1" applyBorder="1" applyAlignment="1" applyProtection="1">
      <alignment horizontal="left" vertical="top"/>
      <protection locked="0"/>
    </xf>
    <xf numFmtId="0" fontId="64" fillId="2" borderId="602" xfId="2" applyFont="1" applyFill="1" applyBorder="1" applyAlignment="1" applyProtection="1">
      <alignment horizontal="left" vertical="top"/>
      <protection locked="0"/>
    </xf>
    <xf numFmtId="0" fontId="64" fillId="2" borderId="592" xfId="2" applyFont="1" applyFill="1" applyBorder="1" applyAlignment="1" applyProtection="1">
      <alignment horizontal="left" vertical="top"/>
      <protection locked="0"/>
    </xf>
    <xf numFmtId="0" fontId="26" fillId="4" borderId="0" xfId="2" applyFont="1" applyFill="1" applyAlignment="1" applyProtection="1">
      <alignment horizontal="left"/>
      <protection hidden="1"/>
    </xf>
    <xf numFmtId="0" fontId="17" fillId="4" borderId="0" xfId="2" applyFont="1" applyFill="1" applyAlignment="1" applyProtection="1">
      <alignment horizontal="left" wrapText="1"/>
      <protection hidden="1"/>
    </xf>
    <xf numFmtId="0" fontId="51" fillId="4" borderId="0" xfId="2" applyFont="1" applyFill="1" applyAlignment="1" applyProtection="1">
      <alignment horizontal="left" wrapText="1"/>
      <protection hidden="1"/>
    </xf>
    <xf numFmtId="2" fontId="5" fillId="3" borderId="543" xfId="2" applyNumberFormat="1" applyFont="1" applyFill="1" applyBorder="1" applyAlignment="1" applyProtection="1">
      <alignment horizontal="center"/>
      <protection hidden="1"/>
    </xf>
    <xf numFmtId="2" fontId="5" fillId="3" borderId="530" xfId="2" applyNumberFormat="1" applyFont="1" applyFill="1" applyBorder="1" applyAlignment="1" applyProtection="1">
      <alignment horizontal="center"/>
      <protection hidden="1"/>
    </xf>
    <xf numFmtId="0" fontId="71" fillId="3" borderId="0" xfId="413" applyFont="1" applyFill="1" applyAlignment="1" applyProtection="1">
      <alignment horizontal="right"/>
      <protection hidden="1"/>
    </xf>
    <xf numFmtId="0" fontId="5" fillId="4" borderId="0" xfId="2" applyFill="1" applyAlignment="1" applyProtection="1">
      <alignment horizontal="center"/>
      <protection hidden="1"/>
    </xf>
    <xf numFmtId="0" fontId="5" fillId="0" borderId="0" xfId="2" applyFont="1" applyAlignment="1" applyProtection="1">
      <alignment horizontal="left" vertical="top" wrapText="1"/>
      <protection hidden="1"/>
    </xf>
    <xf numFmtId="0" fontId="51" fillId="4" borderId="342" xfId="0" applyFont="1" applyFill="1" applyBorder="1" applyAlignment="1" applyProtection="1">
      <alignment horizontal="center" vertical="center"/>
      <protection hidden="1"/>
    </xf>
    <xf numFmtId="0" fontId="71" fillId="4" borderId="0" xfId="675" applyFont="1" applyFill="1" applyAlignment="1" applyProtection="1">
      <alignment horizontal="left"/>
      <protection hidden="1"/>
    </xf>
    <xf numFmtId="0" fontId="71" fillId="3" borderId="0" xfId="1" applyFont="1" applyFill="1" applyAlignment="1" applyProtection="1">
      <alignment horizontal="right"/>
      <protection hidden="1"/>
    </xf>
    <xf numFmtId="0" fontId="13" fillId="14" borderId="0" xfId="3" applyFont="1" applyFill="1" applyAlignment="1" applyProtection="1">
      <alignment horizontal="left"/>
      <protection hidden="1"/>
    </xf>
    <xf numFmtId="0" fontId="20" fillId="3" borderId="515" xfId="4" applyFont="1" applyFill="1" applyBorder="1" applyAlignment="1" applyProtection="1">
      <alignment horizontal="left"/>
      <protection hidden="1"/>
    </xf>
    <xf numFmtId="0" fontId="1" fillId="0" borderId="528" xfId="1" applyBorder="1" applyAlignment="1" applyProtection="1">
      <alignment horizontal="left"/>
      <protection hidden="1"/>
    </xf>
    <xf numFmtId="0" fontId="21" fillId="3" borderId="0" xfId="1" applyFont="1" applyFill="1" applyAlignment="1" applyProtection="1">
      <alignment horizontal="left"/>
      <protection hidden="1"/>
    </xf>
    <xf numFmtId="0" fontId="5" fillId="4" borderId="489" xfId="2" applyFont="1" applyFill="1" applyBorder="1" applyAlignment="1" applyProtection="1">
      <alignment horizontal="center"/>
      <protection hidden="1"/>
    </xf>
    <xf numFmtId="164" fontId="5" fillId="4" borderId="489" xfId="2" applyNumberFormat="1" applyFont="1" applyFill="1" applyBorder="1" applyAlignment="1" applyProtection="1">
      <alignment horizontal="center"/>
      <protection hidden="1"/>
    </xf>
    <xf numFmtId="164" fontId="5" fillId="4" borderId="530" xfId="2" applyNumberFormat="1" applyFont="1" applyFill="1" applyBorder="1" applyAlignment="1" applyProtection="1">
      <alignment horizontal="center"/>
      <protection hidden="1"/>
    </xf>
    <xf numFmtId="0" fontId="15" fillId="0" borderId="178" xfId="3" applyFont="1" applyBorder="1" applyAlignment="1" applyProtection="1">
      <alignment horizontal="center" vertical="top" wrapText="1"/>
      <protection hidden="1"/>
    </xf>
    <xf numFmtId="0" fontId="15" fillId="0" borderId="0" xfId="3" applyFont="1" applyAlignment="1" applyProtection="1">
      <alignment horizontal="center" vertical="top" wrapText="1"/>
      <protection hidden="1"/>
    </xf>
    <xf numFmtId="0" fontId="1" fillId="7" borderId="73" xfId="2" applyFont="1" applyFill="1" applyBorder="1" applyAlignment="1" applyProtection="1">
      <alignment horizontal="center" vertical="center" textRotation="90"/>
      <protection hidden="1"/>
    </xf>
    <xf numFmtId="0" fontId="0" fillId="0" borderId="469" xfId="0" applyBorder="1" applyProtection="1">
      <protection hidden="1"/>
    </xf>
    <xf numFmtId="0" fontId="116" fillId="12" borderId="66" xfId="1" applyFont="1" applyFill="1" applyBorder="1" applyAlignment="1" applyProtection="1">
      <alignment horizontal="center" wrapText="1"/>
    </xf>
    <xf numFmtId="0" fontId="166" fillId="0" borderId="47" xfId="0" applyFont="1" applyBorder="1" applyAlignment="1" applyProtection="1">
      <alignment wrapText="1"/>
    </xf>
    <xf numFmtId="0" fontId="5" fillId="0" borderId="655" xfId="1" applyFont="1" applyBorder="1" applyAlignment="1" applyProtection="1">
      <protection hidden="1"/>
    </xf>
    <xf numFmtId="0" fontId="5" fillId="0" borderId="641" xfId="1" applyFont="1" applyBorder="1" applyAlignment="1" applyProtection="1">
      <protection hidden="1"/>
    </xf>
    <xf numFmtId="0" fontId="5" fillId="0" borderId="34" xfId="1" applyFont="1" applyBorder="1" applyAlignment="1" applyProtection="1">
      <protection hidden="1"/>
    </xf>
    <xf numFmtId="0" fontId="15" fillId="4" borderId="581" xfId="3" applyFont="1" applyFill="1" applyBorder="1" applyAlignment="1" applyProtection="1">
      <alignment horizontal="left"/>
      <protection hidden="1"/>
    </xf>
    <xf numFmtId="0" fontId="0" fillId="0" borderId="155" xfId="0" applyBorder="1" applyProtection="1">
      <protection hidden="1"/>
    </xf>
    <xf numFmtId="0" fontId="5" fillId="4" borderId="543" xfId="413" applyFont="1" applyFill="1" applyBorder="1" applyAlignment="1" applyProtection="1">
      <alignment horizontal="left"/>
      <protection hidden="1"/>
    </xf>
    <xf numFmtId="0" fontId="52" fillId="0" borderId="529" xfId="1" applyFont="1" applyBorder="1" applyAlignment="1" applyProtection="1">
      <protection hidden="1"/>
    </xf>
    <xf numFmtId="0" fontId="5" fillId="0" borderId="84" xfId="2" applyBorder="1" applyAlignment="1" applyProtection="1">
      <alignment horizontal="left"/>
      <protection hidden="1"/>
    </xf>
    <xf numFmtId="0" fontId="5" fillId="3" borderId="620" xfId="2" applyFont="1" applyFill="1" applyBorder="1" applyAlignment="1" applyProtection="1">
      <alignment horizontal="center" wrapText="1"/>
      <protection hidden="1"/>
    </xf>
    <xf numFmtId="0" fontId="0" fillId="0" borderId="622" xfId="0" applyBorder="1" applyProtection="1">
      <protection hidden="1"/>
    </xf>
    <xf numFmtId="0" fontId="5" fillId="0" borderId="620" xfId="410" applyFont="1" applyBorder="1" applyAlignment="1" applyProtection="1">
      <alignment horizontal="center"/>
      <protection hidden="1"/>
    </xf>
    <xf numFmtId="0" fontId="5" fillId="0" borderId="622" xfId="410" applyFont="1" applyBorder="1" applyAlignment="1" applyProtection="1">
      <alignment horizontal="center"/>
      <protection hidden="1"/>
    </xf>
    <xf numFmtId="0" fontId="5" fillId="4" borderId="630" xfId="2" applyFill="1" applyBorder="1" applyAlignment="1" applyProtection="1">
      <alignment horizontal="center"/>
      <protection hidden="1"/>
    </xf>
    <xf numFmtId="0" fontId="0" fillId="0" borderId="632" xfId="0" applyBorder="1" applyProtection="1">
      <protection hidden="1"/>
    </xf>
    <xf numFmtId="0" fontId="177" fillId="3" borderId="631" xfId="1" applyFont="1" applyFill="1" applyBorder="1" applyAlignment="1" applyProtection="1">
      <alignment horizontal="center"/>
      <protection hidden="1"/>
    </xf>
    <xf numFmtId="0" fontId="35" fillId="0" borderId="656" xfId="2" applyFont="1" applyBorder="1" applyAlignment="1" applyProtection="1">
      <alignment horizontal="center"/>
      <protection hidden="1"/>
    </xf>
    <xf numFmtId="0" fontId="62" fillId="0" borderId="342" xfId="2" applyFont="1" applyBorder="1" applyAlignment="1" applyProtection="1">
      <alignment horizontal="center"/>
      <protection hidden="1"/>
    </xf>
    <xf numFmtId="164" fontId="5" fillId="0" borderId="0" xfId="1" applyNumberFormat="1" applyFont="1" applyAlignment="1" applyProtection="1">
      <alignment horizontal="right" wrapText="1"/>
      <protection hidden="1"/>
    </xf>
    <xf numFmtId="0" fontId="14" fillId="2" borderId="0" xfId="2" applyFont="1" applyFill="1" applyBorder="1" applyAlignment="1" applyProtection="1">
      <alignment horizontal="left"/>
      <protection hidden="1"/>
    </xf>
    <xf numFmtId="0" fontId="32" fillId="3" borderId="39" xfId="2" applyFont="1" applyFill="1" applyBorder="1" applyAlignment="1" applyProtection="1">
      <protection hidden="1"/>
    </xf>
    <xf numFmtId="0" fontId="44" fillId="3" borderId="500" xfId="2" applyFont="1" applyFill="1" applyBorder="1" applyAlignment="1" applyProtection="1">
      <alignment horizontal="left"/>
      <protection hidden="1"/>
    </xf>
    <xf numFmtId="0" fontId="41" fillId="0" borderId="656" xfId="2" applyFont="1" applyBorder="1" applyAlignment="1" applyProtection="1">
      <alignment horizontal="center"/>
      <protection hidden="1"/>
    </xf>
    <xf numFmtId="0" fontId="26" fillId="14" borderId="595" xfId="2" applyFont="1" applyFill="1" applyBorder="1" applyAlignment="1" applyProtection="1">
      <alignment horizontal="left" vertical="top"/>
      <protection hidden="1"/>
    </xf>
    <xf numFmtId="0" fontId="26" fillId="14" borderId="342" xfId="2" applyFont="1" applyFill="1" applyBorder="1" applyAlignment="1" applyProtection="1">
      <alignment horizontal="left" vertical="top"/>
      <protection hidden="1"/>
    </xf>
    <xf numFmtId="0" fontId="26" fillId="14" borderId="399" xfId="2" applyFont="1" applyFill="1" applyBorder="1" applyAlignment="1" applyProtection="1">
      <alignment horizontal="left" vertical="top"/>
      <protection hidden="1"/>
    </xf>
    <xf numFmtId="0" fontId="26" fillId="14" borderId="516" xfId="2" applyFont="1" applyFill="1" applyBorder="1" applyAlignment="1" applyProtection="1">
      <alignment horizontal="left" vertical="top"/>
      <protection hidden="1"/>
    </xf>
    <xf numFmtId="0" fontId="26" fillId="14" borderId="602" xfId="2" applyFont="1" applyFill="1" applyBorder="1" applyAlignment="1" applyProtection="1">
      <alignment horizontal="left" vertical="top"/>
      <protection hidden="1"/>
    </xf>
    <xf numFmtId="0" fontId="26" fillId="14" borderId="710" xfId="2" applyFont="1" applyFill="1" applyBorder="1" applyAlignment="1" applyProtection="1">
      <alignment horizontal="left" vertical="top"/>
      <protection hidden="1"/>
    </xf>
    <xf numFmtId="0" fontId="44" fillId="5" borderId="635" xfId="2" applyFont="1" applyFill="1" applyBorder="1" applyAlignment="1" applyProtection="1">
      <alignment horizontal="left"/>
      <protection locked="0"/>
    </xf>
    <xf numFmtId="0" fontId="44" fillId="5" borderId="636" xfId="2" applyFont="1" applyFill="1" applyBorder="1" applyAlignment="1" applyProtection="1">
      <alignment horizontal="left"/>
      <protection locked="0"/>
    </xf>
    <xf numFmtId="2" fontId="5" fillId="4" borderId="123" xfId="2" applyNumberFormat="1" applyFill="1" applyBorder="1" applyAlignment="1" applyProtection="1">
      <alignment horizontal="left" wrapText="1"/>
      <protection hidden="1"/>
    </xf>
    <xf numFmtId="0" fontId="52" fillId="0" borderId="0" xfId="0" applyFont="1" applyBorder="1" applyAlignment="1" applyProtection="1">
      <alignment horizontal="left"/>
      <protection hidden="1"/>
    </xf>
    <xf numFmtId="0" fontId="15" fillId="0" borderId="84" xfId="3" applyFont="1" applyBorder="1" applyAlignment="1" applyProtection="1">
      <alignment horizontal="left"/>
      <protection hidden="1"/>
    </xf>
    <xf numFmtId="0" fontId="5" fillId="0" borderId="0" xfId="2" applyBorder="1" applyAlignment="1" applyProtection="1">
      <alignment horizontal="left"/>
      <protection hidden="1"/>
    </xf>
    <xf numFmtId="0" fontId="303" fillId="0" borderId="0" xfId="2" applyFont="1" applyBorder="1" applyAlignment="1" applyProtection="1">
      <alignment horizontal="center"/>
      <protection hidden="1"/>
    </xf>
    <xf numFmtId="0" fontId="99" fillId="0" borderId="0" xfId="0" applyFont="1" applyBorder="1" applyAlignment="1" applyProtection="1">
      <alignment horizontal="center"/>
      <protection hidden="1"/>
    </xf>
    <xf numFmtId="0" fontId="44" fillId="4" borderId="736" xfId="429" applyFont="1" applyFill="1" applyBorder="1" applyAlignment="1" applyProtection="1">
      <alignment horizontal="left"/>
      <protection hidden="1"/>
    </xf>
    <xf numFmtId="0" fontId="44" fillId="4" borderId="737" xfId="429" applyFont="1" applyFill="1" applyBorder="1" applyAlignment="1" applyProtection="1">
      <alignment horizontal="left"/>
      <protection hidden="1"/>
    </xf>
    <xf numFmtId="2" fontId="5" fillId="0" borderId="736" xfId="198" applyNumberFormat="1" applyFont="1" applyBorder="1" applyAlignment="1" applyProtection="1">
      <alignment horizontal="center"/>
      <protection hidden="1"/>
    </xf>
    <xf numFmtId="2" fontId="5" fillId="0" borderId="737" xfId="198" applyNumberFormat="1" applyFont="1" applyBorder="1" applyAlignment="1" applyProtection="1">
      <alignment horizontal="center"/>
      <protection hidden="1"/>
    </xf>
    <xf numFmtId="0" fontId="5" fillId="5" borderId="736" xfId="2" applyFont="1" applyFill="1" applyBorder="1" applyAlignment="1" applyProtection="1">
      <alignment horizontal="center"/>
      <protection locked="0"/>
    </xf>
    <xf numFmtId="0" fontId="5" fillId="5" borderId="737" xfId="2" applyFont="1" applyFill="1" applyBorder="1" applyAlignment="1" applyProtection="1">
      <alignment horizontal="center"/>
      <protection locked="0"/>
    </xf>
    <xf numFmtId="0" fontId="2" fillId="3" borderId="0" xfId="2" applyFont="1" applyFill="1" applyAlignment="1" applyProtection="1">
      <alignment horizontal="right"/>
      <protection hidden="1"/>
    </xf>
    <xf numFmtId="0" fontId="2" fillId="2" borderId="0" xfId="198" applyFont="1" applyFill="1" applyAlignment="1" applyProtection="1">
      <alignment horizontal="right" vertical="top"/>
      <protection hidden="1"/>
    </xf>
    <xf numFmtId="0" fontId="13" fillId="3" borderId="0" xfId="3" applyFont="1" applyFill="1" applyAlignment="1" applyProtection="1">
      <alignment horizontal="right" vertical="center"/>
      <protection hidden="1"/>
    </xf>
    <xf numFmtId="0" fontId="15" fillId="4" borderId="0" xfId="3" applyFont="1" applyFill="1" applyBorder="1" applyAlignment="1" applyProtection="1">
      <alignment horizontal="left"/>
      <protection hidden="1"/>
    </xf>
    <xf numFmtId="0" fontId="5" fillId="3" borderId="655" xfId="2" applyFont="1" applyFill="1" applyBorder="1" applyAlignment="1" applyProtection="1">
      <alignment horizontal="center"/>
      <protection locked="0"/>
    </xf>
    <xf numFmtId="0" fontId="5" fillId="3" borderId="654" xfId="2" applyFont="1" applyFill="1" applyBorder="1" applyAlignment="1" applyProtection="1">
      <alignment horizontal="center"/>
      <protection locked="0"/>
    </xf>
    <xf numFmtId="2" fontId="5" fillId="4" borderId="179" xfId="2" applyNumberFormat="1" applyFill="1" applyBorder="1" applyAlignment="1" applyProtection="1">
      <alignment horizontal="center"/>
      <protection hidden="1"/>
    </xf>
    <xf numFmtId="2" fontId="5" fillId="4" borderId="177" xfId="2" applyNumberFormat="1" applyFill="1" applyBorder="1" applyAlignment="1" applyProtection="1">
      <alignment horizontal="center"/>
      <protection hidden="1"/>
    </xf>
    <xf numFmtId="2" fontId="5" fillId="4" borderId="180" xfId="2" applyNumberFormat="1" applyFill="1" applyBorder="1" applyAlignment="1" applyProtection="1">
      <alignment horizontal="center"/>
      <protection hidden="1"/>
    </xf>
    <xf numFmtId="0" fontId="6" fillId="2" borderId="0" xfId="2" applyFont="1" applyFill="1" applyAlignment="1" applyProtection="1">
      <alignment horizontal="center"/>
      <protection hidden="1"/>
    </xf>
    <xf numFmtId="0" fontId="5" fillId="4" borderId="641" xfId="2" applyFill="1" applyBorder="1" applyAlignment="1" applyProtection="1">
      <alignment horizontal="left" vertical="center" wrapText="1"/>
      <protection hidden="1"/>
    </xf>
    <xf numFmtId="0" fontId="0" fillId="0" borderId="0" xfId="0" applyAlignment="1" applyProtection="1">
      <alignment horizontal="left" vertical="center"/>
      <protection hidden="1"/>
    </xf>
    <xf numFmtId="0" fontId="0" fillId="0" borderId="641" xfId="0" applyBorder="1" applyAlignment="1" applyProtection="1">
      <alignment horizontal="left" vertical="center"/>
      <protection hidden="1"/>
    </xf>
    <xf numFmtId="0" fontId="5" fillId="4" borderId="655" xfId="2" applyFont="1" applyFill="1" applyBorder="1" applyAlignment="1" applyProtection="1">
      <alignment horizontal="center"/>
      <protection hidden="1"/>
    </xf>
    <xf numFmtId="0" fontId="5" fillId="4" borderId="631" xfId="2" applyFont="1" applyFill="1" applyBorder="1" applyAlignment="1" applyProtection="1">
      <alignment horizontal="center"/>
      <protection hidden="1"/>
    </xf>
    <xf numFmtId="0" fontId="5" fillId="4" borderId="654" xfId="2" applyFont="1" applyFill="1" applyBorder="1" applyAlignment="1" applyProtection="1">
      <alignment horizontal="center"/>
      <protection hidden="1"/>
    </xf>
    <xf numFmtId="0" fontId="44" fillId="4" borderId="655" xfId="429" applyFont="1" applyFill="1" applyBorder="1" applyAlignment="1" applyProtection="1">
      <alignment horizontal="left"/>
      <protection hidden="1"/>
    </xf>
    <xf numFmtId="0" fontId="44" fillId="4" borderId="654" xfId="429" applyFont="1" applyFill="1" applyBorder="1" applyAlignment="1" applyProtection="1">
      <alignment horizontal="left"/>
      <protection hidden="1"/>
    </xf>
    <xf numFmtId="0" fontId="5" fillId="3" borderId="622" xfId="2" applyFont="1" applyFill="1" applyBorder="1" applyAlignment="1" applyProtection="1">
      <alignment horizontal="center" wrapText="1"/>
      <protection hidden="1"/>
    </xf>
    <xf numFmtId="0" fontId="15" fillId="4" borderId="292" xfId="3" applyFont="1" applyFill="1" applyBorder="1" applyAlignment="1" applyProtection="1">
      <alignment horizontal="left"/>
      <protection hidden="1"/>
    </xf>
    <xf numFmtId="0" fontId="5" fillId="3" borderId="579" xfId="199" applyNumberFormat="1" applyFont="1" applyFill="1" applyBorder="1" applyAlignment="1" applyProtection="1">
      <alignment horizontal="left" vertical="center"/>
      <protection hidden="1"/>
    </xf>
    <xf numFmtId="0" fontId="5" fillId="3" borderId="0" xfId="199" applyNumberFormat="1" applyFont="1" applyFill="1" applyBorder="1" applyAlignment="1" applyProtection="1">
      <alignment horizontal="left" vertical="center"/>
      <protection hidden="1"/>
    </xf>
    <xf numFmtId="0" fontId="9" fillId="3" borderId="595" xfId="1" applyFont="1" applyFill="1" applyBorder="1" applyAlignment="1" applyProtection="1">
      <alignment horizontal="center" wrapText="1"/>
      <protection hidden="1"/>
    </xf>
    <xf numFmtId="0" fontId="9" fillId="3" borderId="342" xfId="1" applyFont="1" applyFill="1" applyBorder="1" applyAlignment="1" applyProtection="1">
      <alignment horizontal="center" wrapText="1"/>
      <protection hidden="1"/>
    </xf>
    <xf numFmtId="0" fontId="9" fillId="3" borderId="343" xfId="1" applyFont="1" applyFill="1" applyBorder="1" applyAlignment="1" applyProtection="1">
      <alignment horizontal="center" wrapText="1"/>
      <protection hidden="1"/>
    </xf>
    <xf numFmtId="0" fontId="29" fillId="3" borderId="16" xfId="2" applyFont="1" applyFill="1" applyBorder="1" applyAlignment="1" applyProtection="1">
      <alignment horizontal="center"/>
      <protection hidden="1"/>
    </xf>
    <xf numFmtId="0" fontId="29" fillId="3" borderId="20" xfId="2" applyFont="1" applyFill="1" applyBorder="1" applyAlignment="1" applyProtection="1">
      <alignment horizontal="center"/>
      <protection hidden="1"/>
    </xf>
    <xf numFmtId="0" fontId="30" fillId="3" borderId="16" xfId="2" applyFont="1" applyFill="1" applyBorder="1" applyAlignment="1" applyProtection="1">
      <alignment horizontal="center"/>
      <protection hidden="1"/>
    </xf>
    <xf numFmtId="0" fontId="30" fillId="3" borderId="17" xfId="2" applyFont="1" applyFill="1" applyBorder="1" applyAlignment="1" applyProtection="1">
      <alignment horizontal="center"/>
      <protection hidden="1"/>
    </xf>
    <xf numFmtId="0" fontId="31" fillId="3" borderId="17" xfId="2" applyFont="1" applyFill="1" applyBorder="1" applyAlignment="1" applyProtection="1">
      <alignment horizontal="center"/>
      <protection hidden="1"/>
    </xf>
    <xf numFmtId="0" fontId="31" fillId="3" borderId="20" xfId="2" applyFont="1" applyFill="1" applyBorder="1" applyAlignment="1" applyProtection="1">
      <alignment horizontal="center"/>
      <protection hidden="1"/>
    </xf>
    <xf numFmtId="0" fontId="26" fillId="3" borderId="115" xfId="2" applyFont="1" applyFill="1" applyBorder="1" applyAlignment="1" applyProtection="1">
      <alignment horizontal="left"/>
      <protection hidden="1"/>
    </xf>
    <xf numFmtId="0" fontId="26" fillId="3" borderId="157" xfId="2" applyFont="1" applyFill="1" applyBorder="1" applyAlignment="1" applyProtection="1">
      <alignment horizontal="left"/>
      <protection hidden="1"/>
    </xf>
    <xf numFmtId="0" fontId="26" fillId="3" borderId="158" xfId="2" applyFont="1" applyFill="1" applyBorder="1" applyAlignment="1" applyProtection="1">
      <alignment horizontal="left"/>
      <protection hidden="1"/>
    </xf>
    <xf numFmtId="0" fontId="26" fillId="0" borderId="0" xfId="2" applyFont="1" applyAlignment="1" applyProtection="1">
      <alignment horizontal="center"/>
      <protection hidden="1"/>
    </xf>
    <xf numFmtId="164" fontId="5" fillId="3" borderId="16" xfId="2" applyNumberFormat="1" applyFill="1" applyBorder="1" applyAlignment="1" applyProtection="1">
      <alignment horizontal="left"/>
      <protection hidden="1"/>
    </xf>
    <xf numFmtId="164" fontId="5" fillId="3" borderId="17" xfId="2" applyNumberFormat="1" applyFill="1" applyBorder="1" applyAlignment="1" applyProtection="1">
      <alignment horizontal="left"/>
      <protection hidden="1"/>
    </xf>
    <xf numFmtId="164" fontId="5" fillId="3" borderId="20" xfId="2" applyNumberFormat="1" applyFill="1" applyBorder="1" applyAlignment="1" applyProtection="1">
      <alignment horizontal="left"/>
      <protection hidden="1"/>
    </xf>
    <xf numFmtId="0" fontId="35" fillId="3" borderId="515" xfId="2" applyFont="1" applyFill="1" applyBorder="1" applyAlignment="1" applyProtection="1">
      <alignment horizontal="center"/>
      <protection hidden="1"/>
    </xf>
    <xf numFmtId="0" fontId="35" fillId="3" borderId="495" xfId="2" applyFont="1" applyFill="1" applyBorder="1" applyAlignment="1" applyProtection="1">
      <alignment horizontal="center"/>
      <protection hidden="1"/>
    </xf>
    <xf numFmtId="0" fontId="37" fillId="3" borderId="515" xfId="2" applyFont="1" applyFill="1" applyBorder="1" applyAlignment="1" applyProtection="1">
      <alignment horizontal="center"/>
      <protection hidden="1"/>
    </xf>
    <xf numFmtId="0" fontId="37" fillId="3" borderId="495" xfId="2" applyFont="1" applyFill="1" applyBorder="1" applyAlignment="1" applyProtection="1">
      <alignment horizontal="center"/>
      <protection hidden="1"/>
    </xf>
    <xf numFmtId="0" fontId="12" fillId="0" borderId="0" xfId="3" applyAlignment="1" applyProtection="1">
      <alignment horizontal="center" vertical="top"/>
      <protection hidden="1"/>
    </xf>
    <xf numFmtId="0" fontId="96" fillId="0" borderId="0" xfId="2" applyFont="1" applyAlignment="1" applyProtection="1">
      <alignment horizontal="center" vertical="center"/>
      <protection hidden="1"/>
    </xf>
    <xf numFmtId="0" fontId="71" fillId="2" borderId="0" xfId="2" applyFont="1" applyFill="1" applyAlignment="1" applyProtection="1">
      <alignment horizontal="right"/>
      <protection hidden="1"/>
    </xf>
    <xf numFmtId="0" fontId="5" fillId="17" borderId="172" xfId="198" applyFont="1" applyFill="1" applyBorder="1" applyAlignment="1" applyProtection="1">
      <alignment horizontal="center" vertical="center" textRotation="90" wrapText="1"/>
      <protection hidden="1"/>
    </xf>
    <xf numFmtId="0" fontId="5" fillId="17" borderId="640" xfId="198" applyFont="1" applyFill="1" applyBorder="1" applyAlignment="1" applyProtection="1">
      <alignment horizontal="center" vertical="center" textRotation="90" wrapText="1"/>
      <protection hidden="1"/>
    </xf>
    <xf numFmtId="0" fontId="5" fillId="17" borderId="171" xfId="198" applyFont="1" applyFill="1" applyBorder="1" applyAlignment="1" applyProtection="1">
      <alignment horizontal="center" vertical="center" textRotation="90" wrapText="1"/>
      <protection hidden="1"/>
    </xf>
    <xf numFmtId="0" fontId="107" fillId="0" borderId="173" xfId="1" applyFont="1" applyBorder="1" applyAlignment="1" applyProtection="1">
      <protection hidden="1"/>
    </xf>
    <xf numFmtId="0" fontId="107" fillId="0" borderId="174" xfId="1" applyFont="1" applyBorder="1" applyAlignment="1" applyProtection="1">
      <protection hidden="1"/>
    </xf>
    <xf numFmtId="0" fontId="107" fillId="0" borderId="141" xfId="1" applyFont="1" applyBorder="1" applyAlignment="1" applyProtection="1">
      <protection hidden="1"/>
    </xf>
    <xf numFmtId="0" fontId="44" fillId="5" borderId="40" xfId="2" applyFont="1" applyFill="1" applyBorder="1" applyAlignment="1" applyProtection="1">
      <alignment horizontal="left"/>
      <protection locked="0"/>
    </xf>
    <xf numFmtId="0" fontId="44" fillId="5" borderId="77" xfId="2" applyFont="1" applyFill="1" applyBorder="1" applyAlignment="1" applyProtection="1">
      <alignment horizontal="left"/>
      <protection locked="0"/>
    </xf>
    <xf numFmtId="0" fontId="98" fillId="2" borderId="0" xfId="198" applyFont="1" applyFill="1" applyAlignment="1" applyProtection="1">
      <alignment horizontal="left" wrapText="1"/>
      <protection hidden="1"/>
    </xf>
    <xf numFmtId="2" fontId="92" fillId="3" borderId="0" xfId="1" applyNumberFormat="1" applyFont="1" applyFill="1" applyAlignment="1" applyProtection="1">
      <alignment horizontal="center" vertical="top" wrapText="1"/>
      <protection hidden="1"/>
    </xf>
    <xf numFmtId="0" fontId="107" fillId="0" borderId="641" xfId="2" applyFont="1" applyBorder="1" applyAlignment="1" applyProtection="1">
      <alignment horizontal="left"/>
      <protection hidden="1"/>
    </xf>
    <xf numFmtId="0" fontId="107" fillId="0" borderId="0" xfId="2" applyFont="1" applyBorder="1" applyAlignment="1" applyProtection="1">
      <alignment horizontal="left"/>
      <protection hidden="1"/>
    </xf>
    <xf numFmtId="0" fontId="107" fillId="0" borderId="301" xfId="2" applyFont="1" applyBorder="1" applyAlignment="1" applyProtection="1">
      <alignment horizontal="left"/>
      <protection hidden="1"/>
    </xf>
    <xf numFmtId="0" fontId="5" fillId="0" borderId="165" xfId="198" applyFont="1" applyBorder="1" applyAlignment="1" applyProtection="1">
      <protection hidden="1"/>
    </xf>
    <xf numFmtId="0" fontId="5" fillId="0" borderId="166" xfId="198" applyFont="1" applyBorder="1" applyAlignment="1" applyProtection="1">
      <protection hidden="1"/>
    </xf>
    <xf numFmtId="0" fontId="5" fillId="3" borderId="143" xfId="2" applyFill="1" applyBorder="1" applyAlignment="1" applyProtection="1">
      <alignment horizontal="left"/>
      <protection hidden="1"/>
    </xf>
    <xf numFmtId="0" fontId="5" fillId="3" borderId="631" xfId="2" applyFill="1" applyBorder="1" applyAlignment="1" applyProtection="1">
      <alignment horizontal="left"/>
      <protection hidden="1"/>
    </xf>
    <xf numFmtId="0" fontId="5" fillId="3" borderId="654" xfId="2" applyFill="1" applyBorder="1" applyAlignment="1" applyProtection="1">
      <alignment horizontal="left"/>
      <protection hidden="1"/>
    </xf>
    <xf numFmtId="0" fontId="5" fillId="0" borderId="14" xfId="1" applyFont="1" applyBorder="1" applyAlignment="1" applyProtection="1">
      <protection hidden="1"/>
    </xf>
    <xf numFmtId="0" fontId="5" fillId="0" borderId="0" xfId="1" applyFont="1" applyBorder="1" applyAlignment="1" applyProtection="1">
      <protection hidden="1"/>
    </xf>
    <xf numFmtId="0" fontId="5" fillId="0" borderId="21" xfId="1" applyFont="1" applyBorder="1" applyAlignment="1" applyProtection="1">
      <protection hidden="1"/>
    </xf>
    <xf numFmtId="1" fontId="9" fillId="0" borderId="148" xfId="2" applyNumberFormat="1" applyFont="1" applyBorder="1" applyAlignment="1" applyProtection="1">
      <protection hidden="1"/>
    </xf>
    <xf numFmtId="1" fontId="9" fillId="0" borderId="21" xfId="2" applyNumberFormat="1" applyFont="1" applyBorder="1" applyAlignment="1" applyProtection="1">
      <protection hidden="1"/>
    </xf>
    <xf numFmtId="0" fontId="17" fillId="4" borderId="16" xfId="3" applyFont="1" applyFill="1" applyBorder="1" applyAlignment="1" applyProtection="1">
      <alignment horizontal="left"/>
      <protection hidden="1"/>
    </xf>
    <xf numFmtId="0" fontId="17" fillId="4" borderId="20" xfId="3" applyFont="1" applyFill="1" applyBorder="1" applyAlignment="1" applyProtection="1">
      <alignment horizontal="left"/>
      <protection hidden="1"/>
    </xf>
    <xf numFmtId="0" fontId="36" fillId="0" borderId="656" xfId="6" applyFont="1" applyBorder="1" applyAlignment="1" applyProtection="1">
      <alignment horizontal="center" vertical="center" wrapText="1"/>
      <protection hidden="1"/>
    </xf>
    <xf numFmtId="0" fontId="36" fillId="0" borderId="469" xfId="6" applyFont="1" applyBorder="1" applyAlignment="1" applyProtection="1">
      <alignment horizontal="center" vertical="center" wrapText="1"/>
      <protection hidden="1"/>
    </xf>
    <xf numFmtId="0" fontId="5" fillId="0" borderId="14" xfId="2" applyBorder="1" applyAlignment="1" applyProtection="1">
      <protection hidden="1"/>
    </xf>
    <xf numFmtId="0" fontId="5" fillId="0" borderId="0" xfId="2" applyBorder="1" applyAlignment="1" applyProtection="1">
      <protection hidden="1"/>
    </xf>
    <xf numFmtId="0" fontId="5" fillId="0" borderId="21" xfId="2" applyBorder="1" applyAlignment="1" applyProtection="1">
      <protection hidden="1"/>
    </xf>
    <xf numFmtId="0" fontId="41" fillId="3" borderId="0" xfId="2" applyFont="1" applyFill="1" applyBorder="1" applyAlignment="1" applyProtection="1">
      <alignment horizontal="center" wrapText="1"/>
      <protection hidden="1"/>
    </xf>
    <xf numFmtId="0" fontId="41" fillId="3" borderId="301" xfId="2" applyFont="1" applyFill="1" applyBorder="1" applyAlignment="1" applyProtection="1">
      <alignment horizontal="center" wrapText="1"/>
      <protection hidden="1"/>
    </xf>
    <xf numFmtId="0" fontId="41" fillId="3" borderId="494" xfId="2" applyFont="1" applyFill="1" applyBorder="1" applyAlignment="1" applyProtection="1">
      <alignment horizontal="center" wrapText="1"/>
      <protection hidden="1"/>
    </xf>
    <xf numFmtId="0" fontId="41" fillId="3" borderId="515" xfId="2" applyFont="1" applyFill="1" applyBorder="1" applyAlignment="1" applyProtection="1">
      <alignment horizontal="center" wrapText="1"/>
      <protection hidden="1"/>
    </xf>
    <xf numFmtId="0" fontId="41" fillId="3" borderId="495" xfId="2" applyFont="1" applyFill="1" applyBorder="1" applyAlignment="1" applyProtection="1">
      <alignment horizontal="center" wrapText="1"/>
      <protection hidden="1"/>
    </xf>
    <xf numFmtId="0" fontId="32" fillId="3" borderId="61" xfId="2" applyFont="1" applyFill="1" applyBorder="1" applyAlignment="1" applyProtection="1">
      <alignment horizontal="left"/>
      <protection hidden="1"/>
    </xf>
    <xf numFmtId="0" fontId="32" fillId="3" borderId="58" xfId="2" applyFont="1" applyFill="1" applyBorder="1" applyAlignment="1" applyProtection="1">
      <alignment horizontal="left"/>
      <protection hidden="1"/>
    </xf>
    <xf numFmtId="0" fontId="21" fillId="2" borderId="0" xfId="1" applyFont="1" applyFill="1" applyBorder="1" applyAlignment="1" applyProtection="1">
      <alignment horizontal="left" wrapText="1"/>
      <protection hidden="1"/>
    </xf>
    <xf numFmtId="0" fontId="32" fillId="3" borderId="0" xfId="2" applyFont="1" applyFill="1" applyBorder="1" applyAlignment="1" applyProtection="1">
      <alignment horizontal="left"/>
      <protection hidden="1"/>
    </xf>
    <xf numFmtId="0" fontId="5" fillId="3" borderId="595" xfId="1" applyFont="1" applyFill="1" applyBorder="1" applyAlignment="1" applyProtection="1">
      <alignment horizontal="left" vertical="top"/>
      <protection locked="0"/>
    </xf>
    <xf numFmtId="0" fontId="5" fillId="3" borderId="342" xfId="1" applyFont="1" applyFill="1" applyBorder="1" applyAlignment="1" applyProtection="1">
      <alignment horizontal="left" vertical="top"/>
      <protection locked="0"/>
    </xf>
    <xf numFmtId="0" fontId="5" fillId="3" borderId="572" xfId="1" applyFont="1" applyFill="1" applyBorder="1" applyAlignment="1" applyProtection="1">
      <alignment horizontal="left" vertical="top"/>
      <protection locked="0"/>
    </xf>
    <xf numFmtId="0" fontId="5" fillId="3" borderId="302" xfId="1" applyFont="1" applyFill="1" applyBorder="1" applyAlignment="1" applyProtection="1">
      <alignment horizontal="left" vertical="top"/>
      <protection locked="0"/>
    </xf>
    <xf numFmtId="0" fontId="5" fillId="3" borderId="0" xfId="1" applyFont="1" applyFill="1" applyBorder="1" applyAlignment="1" applyProtection="1">
      <alignment horizontal="left" vertical="top"/>
      <protection locked="0"/>
    </xf>
    <xf numFmtId="0" fontId="5" fillId="3" borderId="301" xfId="1" applyFont="1" applyFill="1" applyBorder="1" applyAlignment="1" applyProtection="1">
      <alignment horizontal="left" vertical="top"/>
      <protection locked="0"/>
    </xf>
    <xf numFmtId="0" fontId="5" fillId="3" borderId="516" xfId="1" applyFont="1" applyFill="1" applyBorder="1" applyAlignment="1" applyProtection="1">
      <alignment horizontal="left" vertical="top"/>
      <protection locked="0"/>
    </xf>
    <xf numFmtId="0" fontId="5" fillId="3" borderId="602" xfId="1" applyFont="1" applyFill="1" applyBorder="1" applyAlignment="1" applyProtection="1">
      <alignment horizontal="left" vertical="top"/>
      <protection locked="0"/>
    </xf>
    <xf numFmtId="0" fontId="5" fillId="3" borderId="592" xfId="1" applyFont="1" applyFill="1" applyBorder="1" applyAlignment="1" applyProtection="1">
      <alignment horizontal="left" vertical="top"/>
      <protection locked="0"/>
    </xf>
    <xf numFmtId="0" fontId="1" fillId="4" borderId="0" xfId="198" applyFont="1" applyFill="1" applyBorder="1" applyAlignment="1" applyProtection="1">
      <alignment horizontal="right"/>
      <protection hidden="1"/>
    </xf>
    <xf numFmtId="0" fontId="71" fillId="3" borderId="0" xfId="2" applyFont="1" applyFill="1" applyBorder="1" applyAlignment="1" applyProtection="1">
      <alignment horizontal="left"/>
      <protection hidden="1"/>
    </xf>
    <xf numFmtId="0" fontId="13" fillId="3" borderId="0" xfId="3" applyFont="1" applyFill="1" applyBorder="1" applyAlignment="1" applyProtection="1">
      <alignment horizontal="left"/>
      <protection hidden="1"/>
    </xf>
    <xf numFmtId="0" fontId="71" fillId="2" borderId="0" xfId="2" applyFont="1" applyFill="1" applyBorder="1" applyAlignment="1" applyProtection="1">
      <alignment horizontal="right"/>
      <protection hidden="1"/>
    </xf>
    <xf numFmtId="0" fontId="71" fillId="2" borderId="0" xfId="413" applyFont="1" applyFill="1" applyBorder="1" applyAlignment="1" applyProtection="1">
      <alignment horizontal="right"/>
      <protection hidden="1"/>
    </xf>
    <xf numFmtId="0" fontId="5" fillId="3" borderId="115" xfId="2" applyFont="1" applyFill="1" applyBorder="1" applyAlignment="1" applyProtection="1">
      <alignment horizontal="center"/>
      <protection hidden="1"/>
    </xf>
    <xf numFmtId="0" fontId="5" fillId="3" borderId="158" xfId="2" applyFont="1" applyFill="1" applyBorder="1" applyAlignment="1" applyProtection="1">
      <alignment horizontal="center"/>
      <protection hidden="1"/>
    </xf>
    <xf numFmtId="0" fontId="51" fillId="2" borderId="0" xfId="198" applyFont="1" applyFill="1" applyAlignment="1" applyProtection="1">
      <alignment horizontal="center"/>
      <protection hidden="1"/>
    </xf>
    <xf numFmtId="0" fontId="2" fillId="2" borderId="0" xfId="2" applyFont="1" applyFill="1" applyAlignment="1" applyProtection="1">
      <alignment horizontal="right" vertical="center"/>
      <protection hidden="1"/>
    </xf>
    <xf numFmtId="0" fontId="51" fillId="4" borderId="0" xfId="2" applyFont="1" applyFill="1" applyAlignment="1" applyProtection="1">
      <alignment horizontal="left" vertical="top"/>
      <protection hidden="1"/>
    </xf>
    <xf numFmtId="0" fontId="101" fillId="2" borderId="0" xfId="198" applyFont="1" applyFill="1" applyAlignment="1" applyProtection="1">
      <alignment horizontal="left"/>
      <protection hidden="1"/>
    </xf>
    <xf numFmtId="0" fontId="15" fillId="0" borderId="0" xfId="3" applyFont="1" applyAlignment="1" applyProtection="1">
      <protection hidden="1"/>
    </xf>
    <xf numFmtId="0" fontId="5" fillId="3" borderId="0" xfId="2" applyFont="1" applyFill="1" applyAlignment="1" applyProtection="1">
      <alignment horizontal="center"/>
      <protection hidden="1"/>
    </xf>
    <xf numFmtId="0" fontId="195" fillId="0" borderId="595" xfId="2" applyFont="1" applyBorder="1" applyAlignment="1" applyProtection="1">
      <alignment horizontal="center" vertical="top" wrapText="1"/>
      <protection hidden="1"/>
    </xf>
    <xf numFmtId="0" fontId="195" fillId="0" borderId="342" xfId="2" applyFont="1" applyBorder="1" applyAlignment="1" applyProtection="1">
      <alignment horizontal="center" vertical="top" wrapText="1"/>
      <protection hidden="1"/>
    </xf>
    <xf numFmtId="0" fontId="195" fillId="0" borderId="399" xfId="2" applyFont="1" applyBorder="1" applyAlignment="1" applyProtection="1">
      <alignment horizontal="center" vertical="top" wrapText="1"/>
      <protection hidden="1"/>
    </xf>
    <xf numFmtId="0" fontId="195" fillId="0" borderId="302" xfId="2" applyFont="1" applyBorder="1" applyAlignment="1" applyProtection="1">
      <alignment horizontal="center" vertical="top" wrapText="1"/>
      <protection hidden="1"/>
    </xf>
    <xf numFmtId="0" fontId="195" fillId="0" borderId="0" xfId="2" applyFont="1" applyBorder="1" applyAlignment="1" applyProtection="1">
      <alignment horizontal="center" vertical="top" wrapText="1"/>
      <protection hidden="1"/>
    </xf>
    <xf numFmtId="0" fontId="195" fillId="0" borderId="301" xfId="2" applyFont="1" applyBorder="1" applyAlignment="1" applyProtection="1">
      <alignment horizontal="center" vertical="top" wrapText="1"/>
      <protection hidden="1"/>
    </xf>
    <xf numFmtId="0" fontId="195" fillId="0" borderId="516" xfId="2" applyFont="1" applyBorder="1" applyAlignment="1" applyProtection="1">
      <alignment horizontal="center" vertical="top" wrapText="1"/>
      <protection hidden="1"/>
    </xf>
    <xf numFmtId="0" fontId="195" fillId="0" borderId="734" xfId="2" applyFont="1" applyBorder="1" applyAlignment="1" applyProtection="1">
      <alignment horizontal="center" vertical="top" wrapText="1"/>
      <protection hidden="1"/>
    </xf>
    <xf numFmtId="0" fontId="195" fillId="0" borderId="710" xfId="2" applyFont="1" applyBorder="1" applyAlignment="1" applyProtection="1">
      <alignment horizontal="center" vertical="top" wrapText="1"/>
      <protection hidden="1"/>
    </xf>
    <xf numFmtId="0" fontId="194" fillId="0" borderId="595" xfId="2" applyFont="1" applyBorder="1" applyAlignment="1" applyProtection="1">
      <alignment horizontal="center" vertical="top" wrapText="1"/>
      <protection hidden="1"/>
    </xf>
    <xf numFmtId="0" fontId="194" fillId="0" borderId="342" xfId="2" applyFont="1" applyBorder="1" applyAlignment="1" applyProtection="1">
      <alignment horizontal="center" vertical="top" wrapText="1"/>
      <protection hidden="1"/>
    </xf>
    <xf numFmtId="0" fontId="194" fillId="0" borderId="526" xfId="2" applyFont="1" applyBorder="1" applyAlignment="1" applyProtection="1">
      <alignment horizontal="center" vertical="top" wrapText="1"/>
      <protection hidden="1"/>
    </xf>
    <xf numFmtId="0" fontId="194" fillId="0" borderId="641" xfId="2" applyFont="1" applyBorder="1" applyAlignment="1" applyProtection="1">
      <alignment horizontal="center" vertical="top" wrapText="1"/>
      <protection hidden="1"/>
    </xf>
    <xf numFmtId="0" fontId="194" fillId="0" borderId="0" xfId="2" applyFont="1" applyBorder="1" applyAlignment="1" applyProtection="1">
      <alignment horizontal="center" vertical="top" wrapText="1"/>
      <protection hidden="1"/>
    </xf>
    <xf numFmtId="0" fontId="194" fillId="0" borderId="301" xfId="2" applyFont="1" applyBorder="1" applyAlignment="1" applyProtection="1">
      <alignment horizontal="center" vertical="top" wrapText="1"/>
      <protection hidden="1"/>
    </xf>
    <xf numFmtId="0" fontId="194" fillId="0" borderId="494" xfId="2" applyFont="1" applyBorder="1" applyAlignment="1" applyProtection="1">
      <alignment horizontal="center" vertical="top" wrapText="1"/>
      <protection hidden="1"/>
    </xf>
    <xf numFmtId="0" fontId="194" fillId="0" borderId="515" xfId="2" applyFont="1" applyBorder="1" applyAlignment="1" applyProtection="1">
      <alignment horizontal="center" vertical="top" wrapText="1"/>
      <protection hidden="1"/>
    </xf>
    <xf numFmtId="0" fontId="194" fillId="0" borderId="495" xfId="2" applyFont="1" applyBorder="1" applyAlignment="1" applyProtection="1">
      <alignment horizontal="center" vertical="top" wrapText="1"/>
      <protection hidden="1"/>
    </xf>
    <xf numFmtId="0" fontId="196" fillId="0" borderId="595" xfId="198" applyFont="1" applyBorder="1" applyAlignment="1" applyProtection="1">
      <alignment horizontal="center" vertical="top" wrapText="1"/>
      <protection hidden="1"/>
    </xf>
    <xf numFmtId="0" fontId="196" fillId="0" borderId="342" xfId="198" applyFont="1" applyBorder="1" applyAlignment="1" applyProtection="1">
      <alignment horizontal="center" vertical="top" wrapText="1"/>
      <protection hidden="1"/>
    </xf>
    <xf numFmtId="0" fontId="196" fillId="0" borderId="526" xfId="198" applyFont="1" applyBorder="1" applyAlignment="1" applyProtection="1">
      <alignment horizontal="center" vertical="top" wrapText="1"/>
      <protection hidden="1"/>
    </xf>
    <xf numFmtId="0" fontId="196" fillId="0" borderId="641" xfId="198" applyFont="1" applyBorder="1" applyAlignment="1" applyProtection="1">
      <alignment horizontal="center" vertical="top" wrapText="1"/>
      <protection hidden="1"/>
    </xf>
    <xf numFmtId="0" fontId="196" fillId="0" borderId="0" xfId="198" applyFont="1" applyBorder="1" applyAlignment="1" applyProtection="1">
      <alignment horizontal="center" vertical="top" wrapText="1"/>
      <protection hidden="1"/>
    </xf>
    <xf numFmtId="0" fontId="196" fillId="0" borderId="301" xfId="198" applyFont="1" applyBorder="1" applyAlignment="1" applyProtection="1">
      <alignment horizontal="center" vertical="top" wrapText="1"/>
      <protection hidden="1"/>
    </xf>
    <xf numFmtId="0" fontId="196" fillId="0" borderId="494" xfId="198" applyFont="1" applyBorder="1" applyAlignment="1" applyProtection="1">
      <alignment horizontal="center" vertical="top" wrapText="1"/>
      <protection hidden="1"/>
    </xf>
    <xf numFmtId="0" fontId="196" fillId="0" borderId="515" xfId="198" applyFont="1" applyBorder="1" applyAlignment="1" applyProtection="1">
      <alignment horizontal="center" vertical="top" wrapText="1"/>
      <protection hidden="1"/>
    </xf>
    <xf numFmtId="0" fontId="196" fillId="0" borderId="495" xfId="198" applyFont="1" applyBorder="1" applyAlignment="1" applyProtection="1">
      <alignment horizontal="center" vertical="top" wrapText="1"/>
      <protection hidden="1"/>
    </xf>
    <xf numFmtId="164" fontId="41" fillId="3" borderId="655" xfId="2" applyNumberFormat="1" applyFont="1" applyFill="1" applyBorder="1" applyAlignment="1" applyProtection="1">
      <alignment horizontal="center"/>
      <protection hidden="1"/>
    </xf>
    <xf numFmtId="164" fontId="41" fillId="3" borderId="631" xfId="2" applyNumberFormat="1" applyFont="1" applyFill="1" applyBorder="1" applyAlignment="1" applyProtection="1">
      <alignment horizontal="center"/>
      <protection hidden="1"/>
    </xf>
    <xf numFmtId="164" fontId="41" fillId="3" borderId="654" xfId="2" applyNumberFormat="1" applyFont="1" applyFill="1" applyBorder="1" applyAlignment="1" applyProtection="1">
      <alignment horizontal="center"/>
      <protection hidden="1"/>
    </xf>
    <xf numFmtId="0" fontId="32" fillId="3" borderId="39" xfId="2" applyFont="1" applyFill="1" applyBorder="1" applyAlignment="1" applyProtection="1">
      <alignment horizontal="left"/>
      <protection hidden="1"/>
    </xf>
    <xf numFmtId="0" fontId="32" fillId="3" borderId="77" xfId="2" applyFont="1" applyFill="1" applyBorder="1" applyAlignment="1" applyProtection="1">
      <alignment horizontal="left"/>
      <protection hidden="1"/>
    </xf>
    <xf numFmtId="0" fontId="5" fillId="0" borderId="494" xfId="2" applyBorder="1" applyAlignment="1" applyProtection="1">
      <alignment horizontal="center"/>
      <protection hidden="1"/>
    </xf>
    <xf numFmtId="0" fontId="5" fillId="0" borderId="515" xfId="2" applyBorder="1" applyAlignment="1" applyProtection="1">
      <alignment horizontal="center"/>
      <protection hidden="1"/>
    </xf>
    <xf numFmtId="0" fontId="5" fillId="0" borderId="495" xfId="2" applyBorder="1" applyAlignment="1" applyProtection="1">
      <alignment horizontal="center"/>
      <protection hidden="1"/>
    </xf>
    <xf numFmtId="0" fontId="9" fillId="3" borderId="61" xfId="2" applyFont="1" applyFill="1" applyBorder="1" applyAlignment="1" applyProtection="1">
      <alignment horizontal="left"/>
      <protection hidden="1"/>
    </xf>
    <xf numFmtId="0" fontId="9" fillId="3" borderId="58" xfId="2" applyFont="1" applyFill="1" applyBorder="1" applyAlignment="1" applyProtection="1">
      <alignment horizontal="left"/>
      <protection hidden="1"/>
    </xf>
    <xf numFmtId="0" fontId="44" fillId="3" borderId="57" xfId="2" applyFont="1" applyFill="1" applyBorder="1" applyAlignment="1" applyProtection="1">
      <alignment horizontal="left"/>
      <protection hidden="1"/>
    </xf>
    <xf numFmtId="0" fontId="44" fillId="3" borderId="122" xfId="2" applyFont="1" applyFill="1" applyBorder="1" applyAlignment="1" applyProtection="1">
      <alignment horizontal="left"/>
      <protection hidden="1"/>
    </xf>
    <xf numFmtId="0" fontId="44" fillId="3" borderId="77" xfId="2" applyFont="1" applyFill="1" applyBorder="1" applyAlignment="1" applyProtection="1">
      <alignment horizontal="left"/>
      <protection hidden="1"/>
    </xf>
    <xf numFmtId="0" fontId="32" fillId="4" borderId="164" xfId="2" applyFont="1" applyFill="1" applyBorder="1" applyAlignment="1" applyProtection="1">
      <alignment horizontal="left"/>
      <protection hidden="1"/>
    </xf>
    <xf numFmtId="0" fontId="14" fillId="0" borderId="0" xfId="198" applyFont="1" applyFill="1" applyBorder="1" applyAlignment="1" applyProtection="1">
      <alignment horizontal="center"/>
      <protection hidden="1"/>
    </xf>
    <xf numFmtId="0" fontId="5" fillId="4" borderId="0" xfId="198" applyFont="1" applyFill="1" applyAlignment="1" applyProtection="1">
      <alignment horizontal="center" vertical="top" wrapText="1"/>
      <protection hidden="1"/>
    </xf>
    <xf numFmtId="0" fontId="14" fillId="10" borderId="292" xfId="198" applyFont="1" applyFill="1" applyBorder="1" applyAlignment="1" applyProtection="1">
      <alignment horizontal="left"/>
      <protection hidden="1"/>
    </xf>
    <xf numFmtId="0" fontId="14" fillId="10" borderId="0" xfId="198" applyFont="1" applyFill="1" applyBorder="1" applyAlignment="1" applyProtection="1">
      <alignment horizontal="left"/>
      <protection hidden="1"/>
    </xf>
    <xf numFmtId="164" fontId="5" fillId="3" borderId="148" xfId="2" applyNumberFormat="1" applyFill="1" applyBorder="1" applyAlignment="1" applyProtection="1">
      <alignment horizontal="left"/>
      <protection hidden="1"/>
    </xf>
    <xf numFmtId="164" fontId="5" fillId="3" borderId="0" xfId="2" applyNumberFormat="1" applyFill="1" applyBorder="1" applyAlignment="1" applyProtection="1">
      <alignment horizontal="left"/>
      <protection hidden="1"/>
    </xf>
    <xf numFmtId="164" fontId="5" fillId="3" borderId="21" xfId="2" applyNumberFormat="1" applyFill="1" applyBorder="1" applyAlignment="1" applyProtection="1">
      <alignment horizontal="left"/>
      <protection hidden="1"/>
    </xf>
    <xf numFmtId="0" fontId="21" fillId="3" borderId="605" xfId="2" applyFont="1" applyFill="1" applyBorder="1" applyAlignment="1" applyProtection="1">
      <alignment horizontal="center" wrapText="1"/>
      <protection hidden="1"/>
    </xf>
    <xf numFmtId="0" fontId="21" fillId="3" borderId="604" xfId="2" applyFont="1" applyFill="1" applyBorder="1" applyAlignment="1" applyProtection="1">
      <alignment horizontal="center" wrapText="1"/>
      <protection hidden="1"/>
    </xf>
    <xf numFmtId="0" fontId="21" fillId="3" borderId="606" xfId="2" applyFont="1" applyFill="1" applyBorder="1" applyAlignment="1" applyProtection="1">
      <alignment horizontal="center" wrapText="1"/>
      <protection hidden="1"/>
    </xf>
    <xf numFmtId="0" fontId="15" fillId="0" borderId="0" xfId="3" applyFont="1" applyAlignment="1" applyProtection="1">
      <alignment horizontal="right"/>
      <protection hidden="1"/>
    </xf>
    <xf numFmtId="0" fontId="5" fillId="3" borderId="148" xfId="2" applyFill="1" applyBorder="1" applyAlignment="1" applyProtection="1">
      <alignment horizontal="left" wrapText="1"/>
      <protection hidden="1"/>
    </xf>
    <xf numFmtId="0" fontId="5" fillId="3" borderId="0" xfId="2" applyFill="1" applyBorder="1" applyAlignment="1" applyProtection="1">
      <alignment horizontal="left" wrapText="1"/>
      <protection hidden="1"/>
    </xf>
    <xf numFmtId="0" fontId="5" fillId="3" borderId="148" xfId="2" applyFill="1" applyBorder="1" applyAlignment="1" applyProtection="1">
      <alignment wrapText="1"/>
      <protection hidden="1"/>
    </xf>
    <xf numFmtId="0" fontId="5" fillId="3" borderId="0" xfId="2" applyFill="1" applyBorder="1" applyAlignment="1" applyProtection="1">
      <alignment wrapText="1"/>
      <protection hidden="1"/>
    </xf>
    <xf numFmtId="0" fontId="5" fillId="3" borderId="0" xfId="2" applyFont="1" applyFill="1" applyAlignment="1" applyProtection="1">
      <alignment horizontal="left" vertical="center" wrapText="1"/>
      <protection hidden="1"/>
    </xf>
    <xf numFmtId="0" fontId="15" fillId="0" borderId="25" xfId="3" applyFont="1" applyBorder="1" applyAlignment="1" applyProtection="1">
      <protection hidden="1"/>
    </xf>
    <xf numFmtId="0" fontId="15" fillId="0" borderId="30" xfId="3" applyFont="1" applyBorder="1" applyAlignment="1" applyProtection="1">
      <protection hidden="1"/>
    </xf>
    <xf numFmtId="164" fontId="35" fillId="3" borderId="655" xfId="2" applyNumberFormat="1" applyFont="1" applyFill="1" applyBorder="1" applyAlignment="1" applyProtection="1">
      <alignment horizontal="center"/>
      <protection hidden="1"/>
    </xf>
    <xf numFmtId="164" fontId="35" fillId="3" borderId="631" xfId="2" applyNumberFormat="1" applyFont="1" applyFill="1" applyBorder="1" applyAlignment="1" applyProtection="1">
      <alignment horizontal="center"/>
      <protection hidden="1"/>
    </xf>
    <xf numFmtId="164" fontId="35" fillId="3" borderId="654" xfId="2" applyNumberFormat="1" applyFont="1" applyFill="1" applyBorder="1" applyAlignment="1" applyProtection="1">
      <alignment horizontal="center"/>
      <protection hidden="1"/>
    </xf>
    <xf numFmtId="0" fontId="14" fillId="4" borderId="0" xfId="2" applyFont="1" applyFill="1" applyBorder="1" applyAlignment="1" applyProtection="1">
      <alignment horizontal="left"/>
      <protection hidden="1"/>
    </xf>
    <xf numFmtId="0" fontId="14" fillId="4" borderId="602" xfId="6" applyFont="1" applyFill="1" applyBorder="1" applyAlignment="1" applyProtection="1">
      <alignment horizontal="left"/>
      <protection hidden="1"/>
    </xf>
    <xf numFmtId="0" fontId="5" fillId="0" borderId="115" xfId="2" applyFont="1" applyBorder="1" applyAlignment="1" applyProtection="1">
      <alignment horizontal="left"/>
      <protection hidden="1"/>
    </xf>
    <xf numFmtId="0" fontId="5" fillId="0" borderId="157" xfId="2" applyFont="1" applyBorder="1" applyAlignment="1" applyProtection="1">
      <alignment horizontal="left"/>
      <protection hidden="1"/>
    </xf>
    <xf numFmtId="0" fontId="14" fillId="3" borderId="0" xfId="2" applyFont="1" applyFill="1" applyAlignment="1" applyProtection="1">
      <alignment vertical="top" wrapText="1"/>
      <protection hidden="1"/>
    </xf>
    <xf numFmtId="0" fontId="26" fillId="14" borderId="595" xfId="2" applyFont="1" applyFill="1" applyBorder="1" applyAlignment="1" applyProtection="1">
      <alignment horizontal="left"/>
      <protection hidden="1"/>
    </xf>
    <xf numFmtId="0" fontId="26" fillId="14" borderId="342" xfId="2" applyFont="1" applyFill="1" applyBorder="1" applyAlignment="1" applyProtection="1">
      <alignment horizontal="left"/>
      <protection hidden="1"/>
    </xf>
    <xf numFmtId="0" fontId="5" fillId="3" borderId="531" xfId="2" applyFont="1" applyFill="1" applyBorder="1" applyAlignment="1" applyProtection="1">
      <alignment horizontal="left" wrapText="1"/>
      <protection hidden="1"/>
    </xf>
    <xf numFmtId="0" fontId="5" fillId="3" borderId="530" xfId="2" applyFont="1" applyFill="1" applyBorder="1" applyAlignment="1" applyProtection="1">
      <alignment horizontal="left" wrapText="1"/>
      <protection hidden="1"/>
    </xf>
    <xf numFmtId="0" fontId="5" fillId="3" borderId="302" xfId="2" applyFont="1" applyFill="1" applyBorder="1" applyAlignment="1" applyProtection="1">
      <alignment horizontal="left" vertical="top" wrapText="1"/>
      <protection hidden="1"/>
    </xf>
    <xf numFmtId="0" fontId="5" fillId="3" borderId="0" xfId="2" applyFont="1" applyFill="1" applyBorder="1" applyAlignment="1" applyProtection="1">
      <alignment horizontal="left" vertical="top" wrapText="1"/>
      <protection hidden="1"/>
    </xf>
    <xf numFmtId="0" fontId="5" fillId="3" borderId="301" xfId="2" applyFont="1" applyFill="1" applyBorder="1" applyAlignment="1" applyProtection="1">
      <alignment horizontal="left" vertical="top" wrapText="1"/>
      <protection hidden="1"/>
    </xf>
    <xf numFmtId="0" fontId="5" fillId="3" borderId="291" xfId="2" applyFont="1" applyFill="1" applyBorder="1" applyAlignment="1" applyProtection="1">
      <alignment horizontal="left" vertical="top" wrapText="1"/>
      <protection hidden="1"/>
    </xf>
    <xf numFmtId="0" fontId="5" fillId="3" borderId="292" xfId="2" applyFont="1" applyFill="1" applyBorder="1" applyAlignment="1" applyProtection="1">
      <alignment horizontal="left" vertical="top" wrapText="1"/>
      <protection hidden="1"/>
    </xf>
    <xf numFmtId="0" fontId="5" fillId="3" borderId="293" xfId="2" applyFont="1" applyFill="1" applyBorder="1" applyAlignment="1" applyProtection="1">
      <alignment horizontal="left" vertical="top" wrapText="1"/>
      <protection hidden="1"/>
    </xf>
    <xf numFmtId="0" fontId="5" fillId="2" borderId="177" xfId="200" applyFont="1" applyFill="1" applyBorder="1" applyAlignment="1" applyProtection="1">
      <alignment horizontal="center"/>
      <protection hidden="1"/>
    </xf>
    <xf numFmtId="0" fontId="5" fillId="3" borderId="16" xfId="2" applyFill="1" applyBorder="1" applyAlignment="1" applyProtection="1">
      <alignment horizontal="left"/>
      <protection hidden="1"/>
    </xf>
    <xf numFmtId="0" fontId="5" fillId="3" borderId="20" xfId="2" applyFill="1" applyBorder="1" applyAlignment="1" applyProtection="1">
      <alignment horizontal="left"/>
      <protection hidden="1"/>
    </xf>
    <xf numFmtId="0" fontId="5" fillId="0" borderId="179" xfId="2" applyFont="1" applyBorder="1" applyAlignment="1" applyProtection="1">
      <alignment horizontal="right"/>
      <protection hidden="1"/>
    </xf>
    <xf numFmtId="0" fontId="5" fillId="0" borderId="177" xfId="2" applyFont="1" applyBorder="1" applyAlignment="1" applyProtection="1">
      <alignment horizontal="right"/>
      <protection hidden="1"/>
    </xf>
    <xf numFmtId="0" fontId="14" fillId="3" borderId="299" xfId="2" applyFont="1" applyFill="1" applyBorder="1" applyAlignment="1" applyProtection="1">
      <alignment horizontal="left"/>
      <protection hidden="1"/>
    </xf>
    <xf numFmtId="0" fontId="14" fillId="3" borderId="178" xfId="2" applyFont="1" applyFill="1" applyBorder="1" applyAlignment="1" applyProtection="1">
      <alignment horizontal="left"/>
      <protection hidden="1"/>
    </xf>
    <xf numFmtId="0" fontId="14" fillId="3" borderId="300" xfId="2" applyFont="1" applyFill="1" applyBorder="1" applyAlignment="1" applyProtection="1">
      <alignment horizontal="left"/>
      <protection hidden="1"/>
    </xf>
    <xf numFmtId="0" fontId="5" fillId="4" borderId="530" xfId="413" applyFont="1" applyFill="1" applyBorder="1" applyAlignment="1" applyProtection="1">
      <alignment horizontal="left"/>
      <protection hidden="1"/>
    </xf>
    <xf numFmtId="0" fontId="26" fillId="3" borderId="115" xfId="2" applyFont="1" applyFill="1" applyBorder="1" applyAlignment="1" applyProtection="1">
      <protection hidden="1"/>
    </xf>
    <xf numFmtId="0" fontId="26" fillId="3" borderId="158" xfId="2" applyFont="1" applyFill="1" applyBorder="1" applyAlignment="1" applyProtection="1">
      <protection hidden="1"/>
    </xf>
    <xf numFmtId="0" fontId="19" fillId="3" borderId="0" xfId="2" applyFont="1" applyFill="1" applyAlignment="1" applyProtection="1">
      <alignment horizontal="left"/>
      <protection hidden="1"/>
    </xf>
    <xf numFmtId="2" fontId="44" fillId="3" borderId="0" xfId="2" applyNumberFormat="1" applyFont="1" applyFill="1" applyAlignment="1" applyProtection="1">
      <alignment horizontal="left"/>
      <protection hidden="1"/>
    </xf>
    <xf numFmtId="0" fontId="47" fillId="3" borderId="165" xfId="4" applyFont="1" applyFill="1" applyBorder="1" applyAlignment="1" applyProtection="1">
      <alignment horizontal="left" vertical="top" wrapText="1"/>
      <protection hidden="1"/>
    </xf>
    <xf numFmtId="0" fontId="47" fillId="3" borderId="164" xfId="4" applyFont="1" applyFill="1" applyBorder="1" applyAlignment="1" applyProtection="1">
      <alignment horizontal="left" vertical="top" wrapText="1"/>
      <protection hidden="1"/>
    </xf>
    <xf numFmtId="0" fontId="47" fillId="3" borderId="166" xfId="4" applyFont="1" applyFill="1" applyBorder="1" applyAlignment="1" applyProtection="1">
      <alignment horizontal="left" vertical="top" wrapText="1"/>
      <protection hidden="1"/>
    </xf>
    <xf numFmtId="0" fontId="47" fillId="3" borderId="148" xfId="4" applyFont="1" applyFill="1" applyBorder="1" applyAlignment="1" applyProtection="1">
      <alignment horizontal="left" vertical="top" wrapText="1"/>
      <protection hidden="1"/>
    </xf>
    <xf numFmtId="0" fontId="47" fillId="3" borderId="0" xfId="4" applyFont="1" applyFill="1" applyBorder="1" applyAlignment="1" applyProtection="1">
      <alignment horizontal="left" vertical="top" wrapText="1"/>
      <protection hidden="1"/>
    </xf>
    <xf numFmtId="0" fontId="47" fillId="3" borderId="21" xfId="4" applyFont="1" applyFill="1" applyBorder="1" applyAlignment="1" applyProtection="1">
      <alignment horizontal="left" vertical="top" wrapText="1"/>
      <protection hidden="1"/>
    </xf>
    <xf numFmtId="0" fontId="47" fillId="3" borderId="16" xfId="4" applyFont="1" applyFill="1" applyBorder="1" applyAlignment="1" applyProtection="1">
      <alignment horizontal="left" vertical="top" wrapText="1"/>
      <protection hidden="1"/>
    </xf>
    <xf numFmtId="0" fontId="47" fillId="3" borderId="17" xfId="4" applyFont="1" applyFill="1" applyBorder="1" applyAlignment="1" applyProtection="1">
      <alignment horizontal="left" vertical="top" wrapText="1"/>
      <protection hidden="1"/>
    </xf>
    <xf numFmtId="0" fontId="47" fillId="3" borderId="20" xfId="4" applyFont="1" applyFill="1" applyBorder="1" applyAlignment="1" applyProtection="1">
      <alignment horizontal="left" vertical="top" wrapText="1"/>
      <protection hidden="1"/>
    </xf>
    <xf numFmtId="0" fontId="5" fillId="3" borderId="165" xfId="2" applyFill="1" applyBorder="1" applyAlignment="1" applyProtection="1">
      <alignment horizontal="center"/>
      <protection hidden="1"/>
    </xf>
    <xf numFmtId="0" fontId="5" fillId="3" borderId="166" xfId="2" applyFill="1" applyBorder="1" applyAlignment="1" applyProtection="1">
      <alignment horizontal="center"/>
      <protection hidden="1"/>
    </xf>
    <xf numFmtId="0" fontId="5" fillId="3" borderId="148" xfId="2" applyFill="1" applyBorder="1" applyAlignment="1" applyProtection="1">
      <alignment horizontal="center"/>
      <protection hidden="1"/>
    </xf>
    <xf numFmtId="0" fontId="5" fillId="3" borderId="21" xfId="2" applyFill="1" applyBorder="1" applyAlignment="1" applyProtection="1">
      <alignment horizontal="center"/>
      <protection hidden="1"/>
    </xf>
    <xf numFmtId="0" fontId="5" fillId="3" borderId="16" xfId="2" applyFill="1" applyBorder="1" applyAlignment="1" applyProtection="1">
      <alignment horizontal="center"/>
      <protection hidden="1"/>
    </xf>
    <xf numFmtId="0" fontId="5" fillId="3" borderId="20" xfId="2" applyFill="1" applyBorder="1" applyAlignment="1" applyProtection="1">
      <alignment horizontal="center"/>
      <protection hidden="1"/>
    </xf>
    <xf numFmtId="0" fontId="8" fillId="3" borderId="0" xfId="2" applyFont="1" applyFill="1" applyAlignment="1" applyProtection="1">
      <alignment horizontal="center" vertical="top"/>
      <protection hidden="1"/>
    </xf>
    <xf numFmtId="0" fontId="5" fillId="3" borderId="17" xfId="2" applyFill="1" applyBorder="1" applyAlignment="1" applyProtection="1">
      <alignment horizontal="left"/>
      <protection hidden="1"/>
    </xf>
    <xf numFmtId="0" fontId="15" fillId="0" borderId="17" xfId="3" applyFont="1" applyBorder="1" applyAlignment="1" applyProtection="1">
      <alignment horizontal="center"/>
      <protection hidden="1"/>
    </xf>
    <xf numFmtId="0" fontId="2" fillId="2" borderId="0" xfId="198" applyFont="1" applyFill="1" applyAlignment="1" applyProtection="1">
      <alignment horizontal="left" vertical="center"/>
      <protection hidden="1"/>
    </xf>
    <xf numFmtId="0" fontId="22" fillId="5" borderId="157" xfId="198" applyFont="1" applyFill="1" applyBorder="1" applyAlignment="1" applyProtection="1">
      <protection locked="0"/>
    </xf>
    <xf numFmtId="0" fontId="22" fillId="5" borderId="158" xfId="198" applyFont="1" applyFill="1" applyBorder="1" applyAlignment="1" applyProtection="1">
      <protection locked="0"/>
    </xf>
    <xf numFmtId="0" fontId="5" fillId="0" borderId="148" xfId="2" applyBorder="1" applyAlignment="1" applyProtection="1">
      <protection hidden="1"/>
    </xf>
    <xf numFmtId="0" fontId="5" fillId="50" borderId="656" xfId="127" applyFont="1" applyFill="1" applyBorder="1" applyAlignment="1" applyProtection="1">
      <alignment horizontal="center" vertical="center" textRotation="90" wrapText="1"/>
      <protection hidden="1"/>
    </xf>
    <xf numFmtId="0" fontId="5" fillId="50" borderId="640" xfId="127" applyFont="1" applyFill="1" applyBorder="1" applyAlignment="1" applyProtection="1">
      <alignment horizontal="center" vertical="center" textRotation="90" wrapText="1"/>
      <protection hidden="1"/>
    </xf>
    <xf numFmtId="0" fontId="5" fillId="50" borderId="171" xfId="127" applyFont="1" applyFill="1" applyBorder="1" applyAlignment="1" applyProtection="1">
      <alignment horizontal="center" vertical="center" textRotation="90" wrapText="1"/>
      <protection hidden="1"/>
    </xf>
    <xf numFmtId="0" fontId="5" fillId="11" borderId="172" xfId="198" applyFont="1" applyFill="1" applyBorder="1" applyAlignment="1" applyProtection="1">
      <alignment horizontal="center" vertical="center" textRotation="90"/>
      <protection hidden="1"/>
    </xf>
    <xf numFmtId="0" fontId="5" fillId="11" borderId="640" xfId="198" applyFont="1" applyFill="1" applyBorder="1" applyAlignment="1" applyProtection="1">
      <alignment horizontal="center" vertical="center" textRotation="90"/>
      <protection hidden="1"/>
    </xf>
    <xf numFmtId="0" fontId="5" fillId="11" borderId="171" xfId="198" applyFont="1" applyFill="1" applyBorder="1" applyAlignment="1" applyProtection="1">
      <alignment horizontal="center" vertical="center" textRotation="90"/>
      <protection hidden="1"/>
    </xf>
    <xf numFmtId="0" fontId="15" fillId="0" borderId="362" xfId="3" applyFont="1" applyBorder="1" applyAlignment="1" applyProtection="1">
      <alignment horizontal="left"/>
      <protection hidden="1"/>
    </xf>
    <xf numFmtId="0" fontId="15" fillId="0" borderId="732" xfId="3" applyFont="1" applyBorder="1" applyAlignment="1" applyProtection="1">
      <alignment horizontal="left"/>
      <protection hidden="1"/>
    </xf>
    <xf numFmtId="0" fontId="5" fillId="4" borderId="168" xfId="198" applyFont="1" applyFill="1" applyBorder="1" applyAlignment="1" applyProtection="1">
      <alignment horizontal="left"/>
      <protection hidden="1"/>
    </xf>
    <xf numFmtId="0" fontId="5" fillId="4" borderId="164" xfId="198" applyFont="1" applyFill="1" applyBorder="1" applyAlignment="1" applyProtection="1">
      <alignment horizontal="left"/>
      <protection hidden="1"/>
    </xf>
    <xf numFmtId="0" fontId="5" fillId="3" borderId="165" xfId="2" applyFill="1" applyBorder="1" applyAlignment="1" applyProtection="1">
      <alignment horizontal="left"/>
      <protection hidden="1"/>
    </xf>
    <xf numFmtId="0" fontId="5" fillId="3" borderId="166" xfId="2" applyFill="1" applyBorder="1" applyAlignment="1" applyProtection="1">
      <alignment horizontal="left"/>
      <protection hidden="1"/>
    </xf>
    <xf numFmtId="0" fontId="5" fillId="0" borderId="84" xfId="198" applyFont="1" applyBorder="1" applyAlignment="1" applyProtection="1">
      <alignment horizontal="left"/>
      <protection hidden="1"/>
    </xf>
    <xf numFmtId="0" fontId="5" fillId="0" borderId="0" xfId="198" applyFont="1" applyBorder="1" applyAlignment="1" applyProtection="1">
      <alignment horizontal="left"/>
      <protection hidden="1"/>
    </xf>
    <xf numFmtId="1" fontId="64" fillId="3" borderId="115" xfId="1" applyNumberFormat="1" applyFont="1" applyFill="1" applyBorder="1" applyAlignment="1" applyProtection="1">
      <alignment horizontal="left"/>
      <protection hidden="1"/>
    </xf>
    <xf numFmtId="1" fontId="64" fillId="3" borderId="157" xfId="1" applyNumberFormat="1" applyFont="1" applyFill="1" applyBorder="1" applyAlignment="1" applyProtection="1">
      <alignment horizontal="left"/>
      <protection hidden="1"/>
    </xf>
    <xf numFmtId="0" fontId="5" fillId="7" borderId="172" xfId="2" applyFont="1" applyFill="1" applyBorder="1" applyAlignment="1" applyProtection="1">
      <alignment horizontal="center" vertical="center" textRotation="90"/>
      <protection hidden="1"/>
    </xf>
    <xf numFmtId="0" fontId="5" fillId="7" borderId="640" xfId="2" applyFont="1" applyFill="1" applyBorder="1" applyAlignment="1" applyProtection="1">
      <alignment horizontal="center" vertical="center" textRotation="90"/>
      <protection hidden="1"/>
    </xf>
    <xf numFmtId="0" fontId="5" fillId="7" borderId="469" xfId="2" applyFont="1" applyFill="1" applyBorder="1" applyAlignment="1" applyProtection="1">
      <alignment horizontal="center" vertical="center" textRotation="90"/>
      <protection hidden="1"/>
    </xf>
    <xf numFmtId="0" fontId="5" fillId="0" borderId="301" xfId="2" applyBorder="1" applyAlignment="1" applyProtection="1">
      <protection hidden="1"/>
    </xf>
    <xf numFmtId="0" fontId="9" fillId="0" borderId="165" xfId="198" applyFont="1" applyBorder="1" applyAlignment="1" applyProtection="1">
      <alignment horizontal="left"/>
      <protection hidden="1"/>
    </xf>
    <xf numFmtId="0" fontId="9" fillId="0" borderId="166" xfId="198" applyFont="1" applyBorder="1" applyAlignment="1" applyProtection="1">
      <alignment horizontal="left"/>
      <protection hidden="1"/>
    </xf>
    <xf numFmtId="0" fontId="9" fillId="0" borderId="16" xfId="2" applyFont="1" applyBorder="1" applyAlignment="1" applyProtection="1">
      <alignment horizontal="left"/>
      <protection hidden="1"/>
    </xf>
    <xf numFmtId="0" fontId="9" fillId="0" borderId="20" xfId="2" applyFont="1" applyBorder="1" applyAlignment="1" applyProtection="1">
      <alignment horizontal="left"/>
      <protection hidden="1"/>
    </xf>
    <xf numFmtId="0" fontId="5" fillId="0" borderId="148" xfId="2" applyBorder="1" applyAlignment="1" applyProtection="1">
      <alignment horizontal="left"/>
      <protection hidden="1"/>
    </xf>
    <xf numFmtId="0" fontId="5" fillId="0" borderId="21" xfId="2" applyBorder="1" applyAlignment="1" applyProtection="1">
      <alignment horizontal="left"/>
      <protection hidden="1"/>
    </xf>
    <xf numFmtId="0" fontId="5" fillId="3" borderId="25" xfId="2" applyFill="1" applyBorder="1" applyAlignment="1" applyProtection="1">
      <protection hidden="1"/>
    </xf>
    <xf numFmtId="0" fontId="34" fillId="2" borderId="38" xfId="2" applyFont="1" applyFill="1" applyBorder="1" applyAlignment="1" applyProtection="1">
      <alignment horizontal="left"/>
      <protection hidden="1"/>
    </xf>
    <xf numFmtId="0" fontId="36" fillId="2" borderId="0" xfId="2" applyFont="1" applyFill="1" applyAlignment="1" applyProtection="1">
      <alignment horizontal="left"/>
      <protection hidden="1"/>
    </xf>
    <xf numFmtId="0" fontId="36" fillId="2" borderId="21" xfId="2" applyFont="1" applyFill="1" applyBorder="1" applyAlignment="1" applyProtection="1">
      <alignment horizontal="left"/>
      <protection hidden="1"/>
    </xf>
    <xf numFmtId="0" fontId="15" fillId="0" borderId="640" xfId="3" applyFont="1" applyBorder="1" applyAlignment="1" applyProtection="1">
      <alignment horizontal="center" vertical="top" wrapText="1"/>
      <protection hidden="1"/>
    </xf>
    <xf numFmtId="0" fontId="40" fillId="2" borderId="30" xfId="2" applyFont="1" applyFill="1" applyBorder="1" applyAlignment="1" applyProtection="1">
      <alignment horizontal="left"/>
      <protection hidden="1"/>
    </xf>
    <xf numFmtId="0" fontId="56" fillId="4" borderId="169" xfId="2" applyFont="1" applyFill="1" applyBorder="1" applyAlignment="1" applyProtection="1">
      <alignment horizontal="left"/>
      <protection hidden="1"/>
    </xf>
    <xf numFmtId="0" fontId="56" fillId="4" borderId="170" xfId="2" applyFont="1" applyFill="1" applyBorder="1" applyAlignment="1" applyProtection="1">
      <alignment horizontal="left"/>
      <protection hidden="1"/>
    </xf>
    <xf numFmtId="0" fontId="5" fillId="4" borderId="84" xfId="198" applyFont="1" applyFill="1" applyBorder="1" applyAlignment="1" applyProtection="1">
      <alignment horizontal="left"/>
      <protection hidden="1"/>
    </xf>
    <xf numFmtId="0" fontId="5" fillId="4" borderId="0" xfId="198" applyFont="1" applyFill="1" applyBorder="1" applyAlignment="1" applyProtection="1">
      <alignment horizontal="left"/>
      <protection hidden="1"/>
    </xf>
    <xf numFmtId="0" fontId="102" fillId="2" borderId="0" xfId="198" applyFont="1" applyFill="1" applyAlignment="1" applyProtection="1">
      <alignment horizontal="right" textRotation="90"/>
      <protection hidden="1"/>
    </xf>
    <xf numFmtId="0" fontId="27" fillId="3" borderId="61" xfId="2" applyFont="1" applyFill="1" applyBorder="1" applyAlignment="1" applyProtection="1">
      <alignment horizontal="left"/>
      <protection hidden="1"/>
    </xf>
    <xf numFmtId="0" fontId="27" fillId="3" borderId="58" xfId="2" applyFont="1" applyFill="1" applyBorder="1" applyAlignment="1" applyProtection="1">
      <alignment horizontal="left"/>
      <protection hidden="1"/>
    </xf>
    <xf numFmtId="0" fontId="5" fillId="5" borderId="115" xfId="2" applyFont="1" applyFill="1" applyBorder="1" applyAlignment="1" applyProtection="1">
      <alignment horizontal="center"/>
      <protection locked="0"/>
    </xf>
    <xf numFmtId="0" fontId="5" fillId="5" borderId="158" xfId="2" applyFont="1" applyFill="1" applyBorder="1" applyAlignment="1" applyProtection="1">
      <alignment horizontal="center"/>
      <protection locked="0"/>
    </xf>
    <xf numFmtId="2" fontId="5" fillId="0" borderId="630" xfId="198" applyNumberFormat="1" applyFont="1" applyBorder="1" applyAlignment="1" applyProtection="1">
      <alignment horizontal="center"/>
      <protection hidden="1"/>
    </xf>
    <xf numFmtId="0" fontId="59" fillId="4" borderId="602" xfId="198" applyFont="1" applyFill="1" applyBorder="1" applyAlignment="1" applyProtection="1">
      <alignment horizontal="left"/>
      <protection hidden="1"/>
    </xf>
    <xf numFmtId="0" fontId="59" fillId="4" borderId="0" xfId="198" applyFont="1" applyFill="1" applyBorder="1" applyAlignment="1" applyProtection="1">
      <alignment horizontal="left"/>
      <protection hidden="1"/>
    </xf>
    <xf numFmtId="0" fontId="15" fillId="14" borderId="655" xfId="3" applyFont="1" applyFill="1" applyBorder="1" applyAlignment="1" applyProtection="1">
      <alignment horizontal="center"/>
      <protection hidden="1"/>
    </xf>
    <xf numFmtId="0" fontId="15" fillId="14" borderId="631" xfId="3" applyFont="1" applyFill="1" applyBorder="1" applyAlignment="1" applyProtection="1">
      <alignment horizontal="center"/>
      <protection hidden="1"/>
    </xf>
    <xf numFmtId="0" fontId="15" fillId="14" borderId="654" xfId="3" applyFont="1" applyFill="1" applyBorder="1" applyAlignment="1" applyProtection="1">
      <alignment horizontal="center"/>
      <protection hidden="1"/>
    </xf>
    <xf numFmtId="164" fontId="40" fillId="0" borderId="656" xfId="2" applyNumberFormat="1" applyFont="1" applyBorder="1" applyAlignment="1" applyProtection="1">
      <alignment horizontal="center" vertical="center" wrapText="1"/>
      <protection hidden="1"/>
    </xf>
    <xf numFmtId="164" fontId="40" fillId="0" borderId="469" xfId="2" applyNumberFormat="1" applyFont="1" applyBorder="1" applyAlignment="1" applyProtection="1">
      <alignment horizontal="center" vertical="center" wrapText="1"/>
      <protection hidden="1"/>
    </xf>
    <xf numFmtId="0" fontId="5" fillId="0" borderId="143" xfId="2" applyBorder="1" applyAlignment="1" applyProtection="1">
      <alignment horizontal="left"/>
      <protection hidden="1"/>
    </xf>
    <xf numFmtId="0" fontId="5" fillId="0" borderId="631" xfId="2" applyBorder="1" applyAlignment="1" applyProtection="1">
      <alignment horizontal="left"/>
      <protection hidden="1"/>
    </xf>
    <xf numFmtId="0" fontId="5" fillId="0" borderId="654" xfId="2" applyBorder="1" applyAlignment="1" applyProtection="1">
      <alignment horizontal="left"/>
      <protection hidden="1"/>
    </xf>
    <xf numFmtId="0" fontId="5" fillId="3" borderId="655" xfId="2" applyFill="1" applyBorder="1" applyAlignment="1" applyProtection="1">
      <alignment horizontal="left"/>
      <protection hidden="1"/>
    </xf>
    <xf numFmtId="164" fontId="37" fillId="3" borderId="655" xfId="2" applyNumberFormat="1" applyFont="1" applyFill="1" applyBorder="1" applyAlignment="1" applyProtection="1">
      <alignment horizontal="center"/>
      <protection hidden="1"/>
    </xf>
    <xf numFmtId="164" fontId="37" fillId="3" borderId="631" xfId="2" applyNumberFormat="1" applyFont="1" applyFill="1" applyBorder="1" applyAlignment="1" applyProtection="1">
      <alignment horizontal="center"/>
      <protection hidden="1"/>
    </xf>
    <xf numFmtId="164" fontId="37" fillId="3" borderId="654" xfId="2" applyNumberFormat="1" applyFont="1" applyFill="1" applyBorder="1" applyAlignment="1" applyProtection="1">
      <alignment horizontal="center"/>
      <protection hidden="1"/>
    </xf>
    <xf numFmtId="0" fontId="34" fillId="0" borderId="656" xfId="6" applyFont="1" applyBorder="1" applyAlignment="1" applyProtection="1">
      <alignment horizontal="center" vertical="center" wrapText="1"/>
      <protection hidden="1"/>
    </xf>
    <xf numFmtId="0" fontId="34" fillId="0" borderId="469" xfId="6" applyFont="1" applyBorder="1" applyAlignment="1" applyProtection="1">
      <alignment horizontal="center" vertical="center" wrapText="1"/>
      <protection hidden="1"/>
    </xf>
    <xf numFmtId="1" fontId="5" fillId="3" borderId="165" xfId="2" applyNumberFormat="1" applyFill="1" applyBorder="1" applyAlignment="1" applyProtection="1">
      <alignment horizontal="left"/>
      <protection hidden="1"/>
    </xf>
    <xf numFmtId="1" fontId="5" fillId="3" borderId="164" xfId="2" applyNumberFormat="1" applyFill="1" applyBorder="1" applyAlignment="1" applyProtection="1">
      <alignment horizontal="left"/>
      <protection hidden="1"/>
    </xf>
    <xf numFmtId="1" fontId="5" fillId="3" borderId="166" xfId="2" applyNumberFormat="1" applyFill="1" applyBorder="1" applyAlignment="1" applyProtection="1">
      <alignment horizontal="left"/>
      <protection hidden="1"/>
    </xf>
    <xf numFmtId="164" fontId="5" fillId="3" borderId="25" xfId="2" applyNumberFormat="1" applyFill="1" applyBorder="1" applyAlignment="1" applyProtection="1">
      <alignment horizontal="left"/>
      <protection hidden="1"/>
    </xf>
    <xf numFmtId="164" fontId="5" fillId="3" borderId="30" xfId="2" applyNumberFormat="1" applyFill="1" applyBorder="1" applyAlignment="1" applyProtection="1">
      <alignment horizontal="left"/>
      <protection hidden="1"/>
    </xf>
    <xf numFmtId="1" fontId="26" fillId="3" borderId="35" xfId="2" applyNumberFormat="1" applyFont="1" applyFill="1" applyBorder="1" applyAlignment="1" applyProtection="1">
      <alignment horizontal="left"/>
      <protection hidden="1"/>
    </xf>
    <xf numFmtId="1" fontId="26" fillId="3" borderId="38" xfId="2" applyNumberFormat="1" applyFont="1" applyFill="1" applyBorder="1" applyAlignment="1" applyProtection="1">
      <alignment horizontal="left"/>
      <protection hidden="1"/>
    </xf>
    <xf numFmtId="0" fontId="27" fillId="3" borderId="641" xfId="2" applyFont="1" applyFill="1" applyBorder="1" applyAlignment="1" applyProtection="1">
      <alignment horizontal="center"/>
      <protection hidden="1"/>
    </xf>
    <xf numFmtId="0" fontId="27" fillId="3" borderId="0" xfId="2" applyFont="1" applyFill="1" applyBorder="1" applyAlignment="1" applyProtection="1">
      <alignment horizontal="center"/>
      <protection hidden="1"/>
    </xf>
    <xf numFmtId="0" fontId="27" fillId="3" borderId="301" xfId="2" applyFont="1" applyFill="1" applyBorder="1" applyAlignment="1" applyProtection="1">
      <alignment horizontal="center"/>
      <protection hidden="1"/>
    </xf>
    <xf numFmtId="0" fontId="182" fillId="3" borderId="595" xfId="1" applyFont="1" applyFill="1" applyBorder="1" applyAlignment="1" applyProtection="1">
      <alignment horizontal="center" vertical="center"/>
      <protection hidden="1"/>
    </xf>
    <xf numFmtId="0" fontId="182" fillId="3" borderId="342" xfId="1" applyFont="1" applyFill="1" applyBorder="1" applyAlignment="1" applyProtection="1">
      <alignment horizontal="center" vertical="center"/>
      <protection hidden="1"/>
    </xf>
    <xf numFmtId="0" fontId="182" fillId="3" borderId="526" xfId="1" applyFont="1" applyFill="1" applyBorder="1" applyAlignment="1" applyProtection="1">
      <alignment horizontal="center" vertical="center"/>
      <protection hidden="1"/>
    </xf>
    <xf numFmtId="0" fontId="180" fillId="3" borderId="595" xfId="1" applyFont="1" applyFill="1" applyBorder="1" applyAlignment="1" applyProtection="1">
      <alignment horizontal="center" vertical="center"/>
      <protection hidden="1"/>
    </xf>
    <xf numFmtId="0" fontId="180" fillId="3" borderId="342" xfId="1" applyFont="1" applyFill="1" applyBorder="1" applyAlignment="1" applyProtection="1">
      <alignment horizontal="center" vertical="center"/>
      <protection hidden="1"/>
    </xf>
    <xf numFmtId="0" fontId="180" fillId="3" borderId="526" xfId="1" applyFont="1" applyFill="1" applyBorder="1" applyAlignment="1" applyProtection="1">
      <alignment horizontal="center" vertical="center"/>
      <protection hidden="1"/>
    </xf>
    <xf numFmtId="0" fontId="2" fillId="4" borderId="0" xfId="2" applyFont="1" applyFill="1" applyAlignment="1" applyProtection="1">
      <alignment horizontal="right"/>
      <protection hidden="1"/>
    </xf>
    <xf numFmtId="0" fontId="147" fillId="0" borderId="0" xfId="6" applyFont="1" applyAlignment="1" applyProtection="1">
      <alignment horizontal="center"/>
      <protection hidden="1"/>
    </xf>
    <xf numFmtId="0" fontId="26" fillId="3" borderId="0" xfId="6" applyFont="1" applyFill="1" applyAlignment="1" applyProtection="1">
      <alignment horizontal="left"/>
      <protection hidden="1"/>
    </xf>
    <xf numFmtId="0" fontId="5" fillId="4" borderId="0" xfId="6" applyFont="1" applyFill="1" applyAlignment="1" applyProtection="1">
      <alignment horizontal="center"/>
      <protection hidden="1"/>
    </xf>
    <xf numFmtId="0" fontId="2" fillId="3" borderId="0" xfId="6" applyFont="1" applyFill="1" applyAlignment="1" applyProtection="1">
      <alignment horizontal="right" vertical="top"/>
      <protection hidden="1"/>
    </xf>
    <xf numFmtId="0" fontId="5" fillId="3" borderId="0" xfId="6" applyFont="1" applyFill="1" applyAlignment="1" applyProtection="1">
      <alignment horizontal="left"/>
      <protection hidden="1"/>
    </xf>
    <xf numFmtId="0" fontId="5" fillId="3" borderId="147" xfId="6" applyFont="1" applyFill="1" applyBorder="1" applyAlignment="1" applyProtection="1">
      <alignment horizontal="left" vertical="center" wrapText="1"/>
      <protection hidden="1"/>
    </xf>
    <xf numFmtId="0" fontId="5" fillId="3" borderId="0" xfId="6" applyFont="1" applyFill="1" applyBorder="1" applyAlignment="1" applyProtection="1">
      <alignment horizontal="left" vertical="center" wrapText="1"/>
      <protection hidden="1"/>
    </xf>
    <xf numFmtId="0" fontId="14" fillId="10" borderId="292" xfId="6" applyFont="1" applyFill="1" applyBorder="1" applyAlignment="1" applyProtection="1">
      <alignment horizontal="left"/>
      <protection hidden="1"/>
    </xf>
    <xf numFmtId="0" fontId="5" fillId="3" borderId="0" xfId="4" applyFont="1" applyFill="1" applyAlignment="1" applyProtection="1">
      <alignment horizontal="left"/>
      <protection hidden="1"/>
    </xf>
    <xf numFmtId="0" fontId="6" fillId="3" borderId="0" xfId="6" applyFont="1" applyFill="1" applyAlignment="1" applyProtection="1">
      <alignment horizontal="center"/>
      <protection hidden="1"/>
    </xf>
    <xf numFmtId="0" fontId="26" fillId="4" borderId="0" xfId="6" applyFont="1" applyFill="1" applyBorder="1" applyAlignment="1" applyProtection="1">
      <alignment horizontal="left"/>
      <protection hidden="1"/>
    </xf>
    <xf numFmtId="0" fontId="5" fillId="4" borderId="0" xfId="6" applyFont="1" applyFill="1" applyBorder="1" applyAlignment="1" applyProtection="1">
      <alignment horizontal="right"/>
      <protection hidden="1"/>
    </xf>
    <xf numFmtId="0" fontId="5" fillId="4" borderId="175" xfId="6" applyFont="1" applyFill="1" applyBorder="1" applyAlignment="1" applyProtection="1">
      <alignment horizontal="right"/>
      <protection hidden="1"/>
    </xf>
    <xf numFmtId="2" fontId="5" fillId="3" borderId="147" xfId="6" applyNumberFormat="1" applyFont="1" applyFill="1" applyBorder="1" applyAlignment="1" applyProtection="1">
      <alignment horizontal="left"/>
      <protection hidden="1"/>
    </xf>
    <xf numFmtId="2" fontId="5" fillId="3" borderId="0" xfId="6" applyNumberFormat="1" applyFont="1" applyFill="1" applyBorder="1" applyAlignment="1" applyProtection="1">
      <alignment horizontal="left"/>
      <protection hidden="1"/>
    </xf>
    <xf numFmtId="0" fontId="2" fillId="3" borderId="0" xfId="6" applyFont="1" applyFill="1" applyAlignment="1" applyProtection="1">
      <protection hidden="1"/>
    </xf>
    <xf numFmtId="1" fontId="36" fillId="3" borderId="179" xfId="288" applyNumberFormat="1" applyFont="1" applyFill="1" applyBorder="1" applyAlignment="1" applyProtection="1">
      <alignment horizontal="left"/>
      <protection hidden="1"/>
    </xf>
    <xf numFmtId="1" fontId="36" fillId="3" borderId="184" xfId="288" applyNumberFormat="1" applyFont="1" applyFill="1" applyBorder="1" applyAlignment="1" applyProtection="1">
      <alignment horizontal="left"/>
      <protection hidden="1"/>
    </xf>
    <xf numFmtId="0" fontId="5" fillId="3" borderId="0" xfId="4" applyFont="1" applyFill="1" applyBorder="1" applyAlignment="1" applyProtection="1">
      <alignment horizontal="right"/>
      <protection hidden="1"/>
    </xf>
    <xf numFmtId="0" fontId="5" fillId="3" borderId="175" xfId="4" applyFont="1" applyFill="1" applyBorder="1" applyAlignment="1" applyProtection="1">
      <alignment horizontal="right"/>
      <protection hidden="1"/>
    </xf>
    <xf numFmtId="0" fontId="5" fillId="2" borderId="147" xfId="2" applyFill="1" applyBorder="1" applyAlignment="1" applyProtection="1">
      <alignment horizontal="left" wrapText="1"/>
      <protection hidden="1"/>
    </xf>
    <xf numFmtId="1" fontId="44" fillId="3" borderId="179" xfId="288" applyNumberFormat="1" applyFont="1" applyFill="1" applyBorder="1" applyAlignment="1" applyProtection="1">
      <alignment horizontal="left"/>
      <protection hidden="1"/>
    </xf>
    <xf numFmtId="1" fontId="44" fillId="3" borderId="184" xfId="288" applyNumberFormat="1" applyFont="1" applyFill="1" applyBorder="1" applyAlignment="1" applyProtection="1">
      <alignment horizontal="left"/>
      <protection hidden="1"/>
    </xf>
    <xf numFmtId="0" fontId="5" fillId="3" borderId="471" xfId="4" applyFont="1" applyFill="1" applyBorder="1" applyAlignment="1" applyProtection="1">
      <alignment horizontal="left"/>
      <protection hidden="1"/>
    </xf>
    <xf numFmtId="0" fontId="5" fillId="3" borderId="473" xfId="4" applyFont="1" applyFill="1" applyBorder="1" applyAlignment="1" applyProtection="1">
      <alignment horizontal="left"/>
      <protection hidden="1"/>
    </xf>
    <xf numFmtId="0" fontId="15" fillId="0" borderId="0" xfId="3" applyFont="1" applyAlignment="1" applyProtection="1">
      <alignment wrapText="1"/>
      <protection hidden="1"/>
    </xf>
    <xf numFmtId="0" fontId="5" fillId="4" borderId="179" xfId="2" applyFont="1" applyFill="1" applyBorder="1" applyAlignment="1" applyProtection="1">
      <alignment horizontal="center"/>
      <protection hidden="1"/>
    </xf>
    <xf numFmtId="0" fontId="5" fillId="4" borderId="180" xfId="2" applyFont="1" applyFill="1" applyBorder="1" applyAlignment="1" applyProtection="1">
      <alignment horizontal="center"/>
      <protection hidden="1"/>
    </xf>
    <xf numFmtId="164" fontId="5" fillId="4" borderId="177" xfId="2" applyNumberFormat="1" applyFont="1" applyFill="1" applyBorder="1" applyAlignment="1" applyProtection="1">
      <alignment horizontal="center"/>
      <protection hidden="1"/>
    </xf>
    <xf numFmtId="1" fontId="26" fillId="4" borderId="34" xfId="2" applyNumberFormat="1" applyFont="1" applyFill="1" applyBorder="1" applyAlignment="1" applyProtection="1">
      <alignment horizontal="left"/>
      <protection hidden="1"/>
    </xf>
    <xf numFmtId="1" fontId="26" fillId="4" borderId="35" xfId="2" applyNumberFormat="1" applyFont="1" applyFill="1" applyBorder="1" applyAlignment="1" applyProtection="1">
      <alignment horizontal="left"/>
      <protection hidden="1"/>
    </xf>
    <xf numFmtId="164" fontId="5" fillId="4" borderId="641" xfId="2" applyNumberFormat="1" applyFill="1" applyBorder="1" applyAlignment="1" applyProtection="1">
      <alignment horizontal="left"/>
      <protection hidden="1"/>
    </xf>
    <xf numFmtId="164" fontId="5" fillId="4" borderId="0" xfId="2" applyNumberFormat="1" applyFill="1" applyBorder="1" applyAlignment="1" applyProtection="1">
      <alignment horizontal="left"/>
      <protection hidden="1"/>
    </xf>
    <xf numFmtId="0" fontId="5" fillId="0" borderId="494" xfId="2" applyFont="1" applyBorder="1" applyAlignment="1" applyProtection="1">
      <alignment horizontal="left"/>
      <protection hidden="1"/>
    </xf>
    <xf numFmtId="0" fontId="5" fillId="0" borderId="515" xfId="2" applyFont="1" applyBorder="1" applyAlignment="1" applyProtection="1">
      <alignment horizontal="left"/>
      <protection hidden="1"/>
    </xf>
    <xf numFmtId="0" fontId="148" fillId="0" borderId="595" xfId="6" applyFont="1" applyBorder="1" applyAlignment="1" applyProtection="1">
      <alignment horizontal="left" vertical="top" wrapText="1"/>
      <protection hidden="1"/>
    </xf>
    <xf numFmtId="0" fontId="148" fillId="0" borderId="342" xfId="6" applyFont="1" applyBorder="1" applyAlignment="1" applyProtection="1">
      <alignment horizontal="left" vertical="top" wrapText="1"/>
      <protection hidden="1"/>
    </xf>
    <xf numFmtId="0" fontId="148" fillId="0" borderId="399" xfId="6" applyFont="1" applyBorder="1" applyAlignment="1" applyProtection="1">
      <alignment horizontal="left" vertical="top" wrapText="1"/>
      <protection hidden="1"/>
    </xf>
    <xf numFmtId="0" fontId="148" fillId="0" borderId="516" xfId="6" applyFont="1" applyBorder="1" applyAlignment="1" applyProtection="1">
      <alignment horizontal="left" vertical="top" wrapText="1"/>
      <protection hidden="1"/>
    </xf>
    <xf numFmtId="0" fontId="148" fillId="0" borderId="734" xfId="6" applyFont="1" applyBorder="1" applyAlignment="1" applyProtection="1">
      <alignment horizontal="left" vertical="top" wrapText="1"/>
      <protection hidden="1"/>
    </xf>
    <xf numFmtId="0" fontId="148" fillId="0" borderId="710" xfId="6" applyFont="1" applyBorder="1" applyAlignment="1" applyProtection="1">
      <alignment horizontal="left" vertical="top" wrapText="1"/>
      <protection hidden="1"/>
    </xf>
    <xf numFmtId="0" fontId="5" fillId="3" borderId="516" xfId="6" applyFont="1" applyFill="1" applyBorder="1" applyAlignment="1" applyProtection="1">
      <alignment horizontal="left"/>
      <protection hidden="1"/>
    </xf>
    <xf numFmtId="0" fontId="5" fillId="3" borderId="734" xfId="6" applyFont="1" applyFill="1" applyBorder="1" applyAlignment="1" applyProtection="1">
      <alignment horizontal="left"/>
      <protection hidden="1"/>
    </xf>
    <xf numFmtId="0" fontId="5" fillId="3" borderId="710" xfId="6" applyFont="1" applyFill="1" applyBorder="1" applyAlignment="1" applyProtection="1">
      <alignment horizontal="left"/>
      <protection hidden="1"/>
    </xf>
    <xf numFmtId="0" fontId="117" fillId="27" borderId="132" xfId="6" applyFont="1" applyFill="1" applyBorder="1" applyAlignment="1" applyProtection="1">
      <alignment horizontal="center" vertical="center" textRotation="90" wrapText="1"/>
      <protection hidden="1"/>
    </xf>
    <xf numFmtId="0" fontId="117" fillId="27" borderId="134" xfId="6" applyFont="1" applyFill="1" applyBorder="1" applyAlignment="1" applyProtection="1">
      <alignment horizontal="center" vertical="center" textRotation="90" wrapText="1"/>
      <protection hidden="1"/>
    </xf>
    <xf numFmtId="0" fontId="1" fillId="4" borderId="0" xfId="6" applyFont="1" applyFill="1" applyBorder="1" applyAlignment="1" applyProtection="1">
      <alignment horizontal="left"/>
      <protection hidden="1"/>
    </xf>
    <xf numFmtId="2" fontId="5" fillId="0" borderId="543" xfId="2" applyNumberFormat="1" applyBorder="1" applyAlignment="1" applyProtection="1">
      <alignment horizontal="center"/>
      <protection hidden="1"/>
    </xf>
    <xf numFmtId="0" fontId="19" fillId="5" borderId="630" xfId="0" applyFont="1" applyFill="1" applyBorder="1" applyAlignment="1" applyProtection="1">
      <alignment horizontal="center"/>
      <protection locked="0"/>
    </xf>
    <xf numFmtId="0" fontId="19" fillId="5" borderId="631" xfId="0" applyFont="1" applyFill="1" applyBorder="1" applyAlignment="1" applyProtection="1">
      <alignment horizontal="center"/>
      <protection locked="0"/>
    </xf>
    <xf numFmtId="0" fontId="19" fillId="5" borderId="632" xfId="0" applyFont="1" applyFill="1" applyBorder="1" applyAlignment="1" applyProtection="1">
      <alignment horizontal="center"/>
      <protection locked="0"/>
    </xf>
    <xf numFmtId="0" fontId="14" fillId="4" borderId="0" xfId="6" applyFont="1" applyFill="1" applyBorder="1" applyAlignment="1" applyProtection="1">
      <alignment horizontal="left"/>
      <protection hidden="1"/>
    </xf>
    <xf numFmtId="0" fontId="136" fillId="3" borderId="341" xfId="6" applyFont="1" applyFill="1" applyBorder="1" applyAlignment="1" applyProtection="1">
      <alignment vertical="top" wrapText="1"/>
      <protection locked="0"/>
    </xf>
    <xf numFmtId="0" fontId="136" fillId="3" borderId="342" xfId="6" applyFont="1" applyFill="1" applyBorder="1" applyAlignment="1" applyProtection="1">
      <alignment vertical="top" wrapText="1"/>
      <protection locked="0"/>
    </xf>
    <xf numFmtId="0" fontId="136" fillId="3" borderId="343" xfId="6" applyFont="1" applyFill="1" applyBorder="1" applyAlignment="1" applyProtection="1">
      <alignment vertical="top" wrapText="1"/>
      <protection locked="0"/>
    </xf>
    <xf numFmtId="0" fontId="136" fillId="3" borderId="302" xfId="6" applyFont="1" applyFill="1" applyBorder="1" applyAlignment="1" applyProtection="1">
      <alignment vertical="top" wrapText="1"/>
      <protection locked="0"/>
    </xf>
    <xf numFmtId="0" fontId="136" fillId="3" borderId="0" xfId="6" applyFont="1" applyFill="1" applyBorder="1" applyAlignment="1" applyProtection="1">
      <alignment vertical="top" wrapText="1"/>
      <protection locked="0"/>
    </xf>
    <xf numFmtId="0" fontId="136" fillId="3" borderId="301" xfId="6" applyFont="1" applyFill="1" applyBorder="1" applyAlignment="1" applyProtection="1">
      <alignment vertical="top" wrapText="1"/>
      <protection locked="0"/>
    </xf>
    <xf numFmtId="0" fontId="136" fillId="3" borderId="516" xfId="6" applyFont="1" applyFill="1" applyBorder="1" applyAlignment="1" applyProtection="1">
      <alignment vertical="top" wrapText="1"/>
      <protection locked="0"/>
    </xf>
    <xf numFmtId="0" fontId="136" fillId="3" borderId="602" xfId="6" applyFont="1" applyFill="1" applyBorder="1" applyAlignment="1" applyProtection="1">
      <alignment vertical="top" wrapText="1"/>
      <protection locked="0"/>
    </xf>
    <xf numFmtId="0" fontId="136" fillId="3" borderId="592" xfId="6" applyFont="1" applyFill="1" applyBorder="1" applyAlignment="1" applyProtection="1">
      <alignment vertical="top" wrapText="1"/>
      <protection locked="0"/>
    </xf>
    <xf numFmtId="0" fontId="59" fillId="0" borderId="740" xfId="6" applyFont="1" applyBorder="1" applyAlignment="1" applyProtection="1">
      <alignment horizontal="left"/>
      <protection hidden="1"/>
    </xf>
    <xf numFmtId="0" fontId="59" fillId="0" borderId="742" xfId="6" applyFont="1" applyBorder="1" applyAlignment="1" applyProtection="1">
      <alignment horizontal="left"/>
      <protection hidden="1"/>
    </xf>
    <xf numFmtId="0" fontId="59" fillId="0" borderId="741" xfId="6" applyFont="1" applyBorder="1" applyAlignment="1" applyProtection="1">
      <alignment horizontal="left"/>
      <protection hidden="1"/>
    </xf>
    <xf numFmtId="0" fontId="310" fillId="4" borderId="33" xfId="6" applyFont="1" applyFill="1" applyBorder="1" applyAlignment="1" applyProtection="1">
      <alignment horizontal="center" vertical="center"/>
      <protection hidden="1"/>
    </xf>
    <xf numFmtId="0" fontId="310" fillId="4" borderId="128" xfId="6" applyFont="1" applyFill="1" applyBorder="1" applyAlignment="1" applyProtection="1">
      <alignment horizontal="center" vertical="center"/>
      <protection hidden="1"/>
    </xf>
    <xf numFmtId="0" fontId="5" fillId="4" borderId="740" xfId="6" applyFont="1" applyFill="1" applyBorder="1" applyAlignment="1" applyProtection="1">
      <alignment horizontal="left"/>
      <protection hidden="1"/>
    </xf>
    <xf numFmtId="0" fontId="5" fillId="4" borderId="741" xfId="6" applyFont="1" applyFill="1" applyBorder="1" applyAlignment="1" applyProtection="1">
      <alignment horizontal="left"/>
      <protection hidden="1"/>
    </xf>
    <xf numFmtId="1" fontId="5" fillId="4" borderId="641" xfId="2" applyNumberFormat="1" applyFill="1" applyBorder="1" applyAlignment="1" applyProtection="1">
      <alignment horizontal="left"/>
      <protection hidden="1"/>
    </xf>
    <xf numFmtId="1" fontId="5" fillId="4" borderId="0" xfId="2" applyNumberFormat="1" applyFill="1" applyBorder="1" applyAlignment="1" applyProtection="1">
      <alignment horizontal="left"/>
      <protection hidden="1"/>
    </xf>
    <xf numFmtId="0" fontId="44" fillId="4" borderId="574" xfId="429" applyFont="1" applyFill="1" applyBorder="1" applyAlignment="1" applyProtection="1">
      <alignment horizontal="left"/>
      <protection hidden="1"/>
    </xf>
    <xf numFmtId="0" fontId="44" fillId="4" borderId="467" xfId="429" applyFont="1" applyFill="1" applyBorder="1" applyAlignment="1" applyProtection="1">
      <alignment horizontal="left"/>
      <protection hidden="1"/>
    </xf>
    <xf numFmtId="0" fontId="117" fillId="7" borderId="134" xfId="6" applyFont="1" applyFill="1" applyBorder="1" applyAlignment="1" applyProtection="1">
      <alignment horizontal="center" vertical="center" textRotation="90"/>
      <protection hidden="1"/>
    </xf>
    <xf numFmtId="0" fontId="117" fillId="7" borderId="172" xfId="6" applyFont="1" applyFill="1" applyBorder="1" applyAlignment="1" applyProtection="1">
      <alignment horizontal="center" vertical="center" textRotation="90"/>
      <protection hidden="1"/>
    </xf>
    <xf numFmtId="0" fontId="117" fillId="7" borderId="137" xfId="6" applyFont="1" applyFill="1" applyBorder="1" applyAlignment="1" applyProtection="1">
      <alignment horizontal="center" vertical="center" textRotation="90"/>
      <protection hidden="1"/>
    </xf>
    <xf numFmtId="0" fontId="5" fillId="3" borderId="179" xfId="2" applyFill="1" applyBorder="1" applyAlignment="1" applyProtection="1">
      <alignment horizontal="center"/>
      <protection hidden="1"/>
    </xf>
    <xf numFmtId="0" fontId="5" fillId="3" borderId="180" xfId="2" applyFill="1" applyBorder="1" applyAlignment="1" applyProtection="1">
      <alignment horizontal="center"/>
      <protection hidden="1"/>
    </xf>
    <xf numFmtId="0" fontId="5" fillId="3" borderId="630" xfId="2" applyFill="1" applyBorder="1" applyAlignment="1" applyProtection="1">
      <alignment horizontal="center"/>
      <protection hidden="1"/>
    </xf>
    <xf numFmtId="0" fontId="5" fillId="3" borderId="632" xfId="2" applyFill="1" applyBorder="1" applyAlignment="1" applyProtection="1">
      <alignment horizontal="center"/>
      <protection hidden="1"/>
    </xf>
    <xf numFmtId="0" fontId="5" fillId="5" borderId="179" xfId="2" applyFill="1" applyBorder="1" applyAlignment="1" applyProtection="1">
      <alignment horizontal="center"/>
      <protection locked="0"/>
    </xf>
    <xf numFmtId="0" fontId="5" fillId="5" borderId="180" xfId="2" applyFill="1" applyBorder="1" applyAlignment="1" applyProtection="1">
      <alignment horizontal="center"/>
      <protection locked="0"/>
    </xf>
    <xf numFmtId="2" fontId="5" fillId="0" borderId="630" xfId="6" applyNumberFormat="1" applyFont="1" applyBorder="1" applyAlignment="1" applyProtection="1">
      <alignment horizontal="center"/>
      <protection hidden="1"/>
    </xf>
    <xf numFmtId="2" fontId="5" fillId="0" borderId="632" xfId="6" applyNumberFormat="1" applyFont="1" applyBorder="1" applyAlignment="1" applyProtection="1">
      <alignment horizontal="center"/>
      <protection hidden="1"/>
    </xf>
    <xf numFmtId="0" fontId="117" fillId="11" borderId="134" xfId="6" applyFont="1" applyFill="1" applyBorder="1" applyAlignment="1" applyProtection="1">
      <alignment horizontal="center" vertical="center" textRotation="90" wrapText="1"/>
      <protection hidden="1"/>
    </xf>
    <xf numFmtId="0" fontId="14" fillId="3" borderId="0" xfId="6" applyFont="1" applyFill="1" applyAlignment="1" applyProtection="1">
      <alignment horizontal="left" vertical="top"/>
      <protection hidden="1"/>
    </xf>
    <xf numFmtId="0" fontId="117" fillId="17" borderId="134" xfId="6" applyFont="1" applyFill="1" applyBorder="1" applyAlignment="1" applyProtection="1">
      <alignment horizontal="center" vertical="center" textRotation="90" wrapText="1"/>
      <protection hidden="1"/>
    </xf>
    <xf numFmtId="0" fontId="5" fillId="0" borderId="0" xfId="6" applyFont="1" applyAlignment="1" applyProtection="1">
      <alignment horizontal="left"/>
      <protection hidden="1"/>
    </xf>
    <xf numFmtId="0" fontId="59" fillId="4" borderId="515" xfId="6" applyFont="1" applyFill="1" applyBorder="1" applyAlignment="1" applyProtection="1">
      <alignment horizontal="left"/>
      <protection hidden="1"/>
    </xf>
    <xf numFmtId="0" fontId="5" fillId="4" borderId="574" xfId="2" applyFont="1" applyFill="1" applyBorder="1" applyAlignment="1" applyProtection="1">
      <alignment horizontal="center"/>
      <protection hidden="1"/>
    </xf>
    <xf numFmtId="0" fontId="0" fillId="0" borderId="408" xfId="0" applyBorder="1" applyProtection="1">
      <protection hidden="1"/>
    </xf>
    <xf numFmtId="0" fontId="0" fillId="0" borderId="467" xfId="0" applyBorder="1" applyProtection="1">
      <protection hidden="1"/>
    </xf>
    <xf numFmtId="0" fontId="5" fillId="0" borderId="0" xfId="6" applyFont="1" applyAlignment="1" applyProtection="1">
      <alignment horizontal="left" vertical="top" wrapText="1"/>
      <protection hidden="1"/>
    </xf>
    <xf numFmtId="0" fontId="9" fillId="2" borderId="0" xfId="6" applyFont="1" applyFill="1" applyBorder="1" applyAlignment="1" applyProtection="1">
      <alignment horizontal="left"/>
      <protection hidden="1"/>
    </xf>
    <xf numFmtId="0" fontId="27" fillId="4" borderId="342" xfId="6" applyFont="1" applyFill="1" applyBorder="1" applyAlignment="1" applyProtection="1">
      <alignment horizontal="left"/>
      <protection hidden="1"/>
    </xf>
    <xf numFmtId="0" fontId="5" fillId="3" borderId="0" xfId="6" applyFont="1" applyFill="1" applyBorder="1" applyAlignment="1" applyProtection="1">
      <alignment horizontal="left" wrapText="1"/>
      <protection hidden="1"/>
    </xf>
    <xf numFmtId="0" fontId="5" fillId="3" borderId="602" xfId="6" applyFont="1" applyFill="1" applyBorder="1" applyAlignment="1" applyProtection="1">
      <alignment horizontal="left" wrapText="1"/>
      <protection hidden="1"/>
    </xf>
    <xf numFmtId="0" fontId="14" fillId="4" borderId="0" xfId="6" applyFont="1" applyFill="1" applyAlignment="1" applyProtection="1">
      <alignment horizontal="left"/>
      <protection hidden="1"/>
    </xf>
    <xf numFmtId="0" fontId="19" fillId="5" borderId="115" xfId="0" applyFont="1" applyFill="1" applyBorder="1" applyAlignment="1" applyProtection="1">
      <protection locked="0"/>
    </xf>
    <xf numFmtId="0" fontId="19" fillId="5" borderId="184" xfId="0" applyFont="1" applyFill="1" applyBorder="1" applyAlignment="1" applyProtection="1">
      <protection locked="0"/>
    </xf>
    <xf numFmtId="0" fontId="19" fillId="5" borderId="180" xfId="0" applyFont="1" applyFill="1" applyBorder="1" applyAlignment="1" applyProtection="1">
      <protection locked="0"/>
    </xf>
    <xf numFmtId="0" fontId="153" fillId="0" borderId="181" xfId="6" applyFont="1" applyBorder="1" applyAlignment="1" applyProtection="1">
      <alignment vertical="top"/>
      <protection hidden="1"/>
    </xf>
    <xf numFmtId="0" fontId="153" fillId="0" borderId="178" xfId="6" applyFont="1" applyBorder="1" applyAlignment="1" applyProtection="1">
      <alignment vertical="top"/>
      <protection hidden="1"/>
    </xf>
    <xf numFmtId="0" fontId="153" fillId="0" borderId="183" xfId="6" applyFont="1" applyBorder="1" applyAlignment="1" applyProtection="1">
      <alignment vertical="top"/>
      <protection hidden="1"/>
    </xf>
    <xf numFmtId="0" fontId="153" fillId="0" borderId="16" xfId="6" applyFont="1" applyBorder="1" applyAlignment="1" applyProtection="1">
      <alignment vertical="top"/>
      <protection hidden="1"/>
    </xf>
    <xf numFmtId="0" fontId="153" fillId="0" borderId="17" xfId="6" applyFont="1" applyBorder="1" applyAlignment="1" applyProtection="1">
      <alignment vertical="top"/>
      <protection hidden="1"/>
    </xf>
    <xf numFmtId="0" fontId="153" fillId="0" borderId="20" xfId="6" applyFont="1" applyBorder="1" applyAlignment="1" applyProtection="1">
      <alignment vertical="top"/>
      <protection hidden="1"/>
    </xf>
    <xf numFmtId="0" fontId="1" fillId="4" borderId="341" xfId="6" applyFont="1" applyFill="1" applyBorder="1" applyAlignment="1" applyProtection="1">
      <alignment horizontal="left" vertical="top" wrapText="1"/>
      <protection locked="0"/>
    </xf>
    <xf numFmtId="0" fontId="1" fillId="4" borderId="342" xfId="6" applyFont="1" applyFill="1" applyBorder="1" applyAlignment="1" applyProtection="1">
      <alignment horizontal="left" vertical="top" wrapText="1"/>
      <protection locked="0"/>
    </xf>
    <xf numFmtId="0" fontId="1" fillId="4" borderId="343" xfId="6" applyFont="1" applyFill="1" applyBorder="1" applyAlignment="1" applyProtection="1">
      <alignment horizontal="left" vertical="top" wrapText="1"/>
      <protection locked="0"/>
    </xf>
    <xf numFmtId="0" fontId="1" fillId="4" borderId="302" xfId="6" applyFont="1" applyFill="1" applyBorder="1" applyAlignment="1" applyProtection="1">
      <alignment horizontal="left" vertical="top" wrapText="1"/>
      <protection locked="0"/>
    </xf>
    <xf numFmtId="0" fontId="1" fillId="4" borderId="0" xfId="6" applyFont="1" applyFill="1" applyBorder="1" applyAlignment="1" applyProtection="1">
      <alignment horizontal="left" vertical="top" wrapText="1"/>
      <protection locked="0"/>
    </xf>
    <xf numFmtId="0" fontId="1" fillId="4" borderId="301" xfId="6" applyFont="1" applyFill="1" applyBorder="1" applyAlignment="1" applyProtection="1">
      <alignment horizontal="left" vertical="top" wrapText="1"/>
      <protection locked="0"/>
    </xf>
    <xf numFmtId="0" fontId="1" fillId="4" borderId="516" xfId="6" applyFont="1" applyFill="1" applyBorder="1" applyAlignment="1" applyProtection="1">
      <alignment horizontal="left" vertical="top" wrapText="1"/>
      <protection locked="0"/>
    </xf>
    <xf numFmtId="0" fontId="1" fillId="4" borderId="602" xfId="6" applyFont="1" applyFill="1" applyBorder="1" applyAlignment="1" applyProtection="1">
      <alignment horizontal="left" vertical="top" wrapText="1"/>
      <protection locked="0"/>
    </xf>
    <xf numFmtId="0" fontId="1" fillId="4" borderId="592" xfId="6" applyFont="1" applyFill="1" applyBorder="1" applyAlignment="1" applyProtection="1">
      <alignment horizontal="left" vertical="top" wrapText="1"/>
      <protection locked="0"/>
    </xf>
    <xf numFmtId="0" fontId="204" fillId="0" borderId="341" xfId="6" applyFont="1" applyBorder="1" applyAlignment="1" applyProtection="1">
      <alignment horizontal="left" vertical="center" textRotation="90"/>
      <protection hidden="1"/>
    </xf>
    <xf numFmtId="0" fontId="204" fillId="0" borderId="343" xfId="6" applyFont="1" applyBorder="1" applyAlignment="1" applyProtection="1">
      <alignment horizontal="left" vertical="center" textRotation="90"/>
      <protection hidden="1"/>
    </xf>
    <xf numFmtId="0" fontId="204" fillId="0" borderId="302" xfId="6" applyFont="1" applyBorder="1" applyAlignment="1" applyProtection="1">
      <alignment horizontal="left" vertical="center" textRotation="90"/>
      <protection hidden="1"/>
    </xf>
    <xf numFmtId="0" fontId="204" fillId="0" borderId="301" xfId="6" applyFont="1" applyBorder="1" applyAlignment="1" applyProtection="1">
      <alignment horizontal="left" vertical="center" textRotation="90"/>
      <protection hidden="1"/>
    </xf>
    <xf numFmtId="0" fontId="204" fillId="0" borderId="516" xfId="6" applyFont="1" applyBorder="1" applyAlignment="1" applyProtection="1">
      <alignment horizontal="left" vertical="center" textRotation="90"/>
      <protection hidden="1"/>
    </xf>
    <xf numFmtId="0" fontId="204" fillId="0" borderId="592" xfId="6" applyFont="1" applyBorder="1" applyAlignment="1" applyProtection="1">
      <alignment horizontal="left" vertical="center" textRotation="90"/>
      <protection hidden="1"/>
    </xf>
    <xf numFmtId="49" fontId="317" fillId="4" borderId="33" xfId="6" applyNumberFormat="1" applyFont="1" applyFill="1" applyBorder="1" applyAlignment="1" applyProtection="1">
      <alignment horizontal="center" vertical="center"/>
      <protection hidden="1"/>
    </xf>
    <xf numFmtId="49" fontId="317" fillId="4" borderId="128" xfId="6" applyNumberFormat="1" applyFont="1" applyFill="1" applyBorder="1" applyAlignment="1" applyProtection="1">
      <alignment horizontal="center" vertical="center"/>
      <protection hidden="1"/>
    </xf>
    <xf numFmtId="0" fontId="5" fillId="3" borderId="620" xfId="2" applyFont="1" applyFill="1" applyBorder="1" applyAlignment="1" applyProtection="1">
      <alignment horizontal="center"/>
      <protection hidden="1"/>
    </xf>
    <xf numFmtId="0" fontId="5" fillId="3" borderId="622" xfId="2" applyFont="1" applyFill="1" applyBorder="1" applyAlignment="1" applyProtection="1">
      <alignment horizontal="center"/>
      <protection hidden="1"/>
    </xf>
    <xf numFmtId="0" fontId="26" fillId="0" borderId="124" xfId="6" applyFont="1" applyBorder="1" applyAlignment="1" applyProtection="1">
      <protection hidden="1"/>
    </xf>
    <xf numFmtId="0" fontId="5" fillId="3" borderId="344" xfId="6" applyFont="1" applyFill="1" applyBorder="1" applyAlignment="1" applyProtection="1">
      <alignment horizontal="center"/>
      <protection hidden="1"/>
    </xf>
    <xf numFmtId="0" fontId="5" fillId="3" borderId="193" xfId="6" applyFont="1" applyFill="1" applyBorder="1" applyAlignment="1" applyProtection="1">
      <alignment horizontal="center"/>
      <protection hidden="1"/>
    </xf>
    <xf numFmtId="0" fontId="5" fillId="3" borderId="578" xfId="6" applyFont="1" applyFill="1" applyBorder="1" applyAlignment="1" applyProtection="1">
      <alignment horizontal="center"/>
      <protection hidden="1"/>
    </xf>
    <xf numFmtId="0" fontId="5" fillId="4" borderId="191" xfId="2" applyFill="1" applyBorder="1" applyAlignment="1" applyProtection="1">
      <alignment horizontal="left"/>
      <protection hidden="1"/>
    </xf>
    <xf numFmtId="0" fontId="5" fillId="4" borderId="146" xfId="2" applyFill="1" applyBorder="1" applyAlignment="1" applyProtection="1">
      <alignment horizontal="left"/>
      <protection hidden="1"/>
    </xf>
    <xf numFmtId="1" fontId="5" fillId="4" borderId="195" xfId="2" applyNumberFormat="1" applyFill="1" applyBorder="1" applyAlignment="1" applyProtection="1">
      <alignment horizontal="left"/>
      <protection hidden="1"/>
    </xf>
    <xf numFmtId="1" fontId="5" fillId="4" borderId="84" xfId="2" applyNumberFormat="1" applyFill="1" applyBorder="1" applyAlignment="1" applyProtection="1">
      <alignment horizontal="left"/>
      <protection hidden="1"/>
    </xf>
    <xf numFmtId="0" fontId="5" fillId="4" borderId="195" xfId="6" applyFont="1" applyFill="1" applyBorder="1" applyAlignment="1" applyProtection="1">
      <protection hidden="1"/>
    </xf>
    <xf numFmtId="0" fontId="5" fillId="4" borderId="84" xfId="6" applyFont="1" applyFill="1" applyBorder="1" applyAlignment="1" applyProtection="1">
      <protection hidden="1"/>
    </xf>
    <xf numFmtId="0" fontId="5" fillId="27" borderId="182" xfId="6" applyFont="1" applyFill="1" applyBorder="1" applyAlignment="1" applyProtection="1">
      <alignment horizontal="center" vertical="center" textRotation="90" wrapText="1"/>
      <protection hidden="1"/>
    </xf>
    <xf numFmtId="0" fontId="5" fillId="0" borderId="154" xfId="6" applyFont="1" applyBorder="1" applyProtection="1">
      <protection hidden="1"/>
    </xf>
    <xf numFmtId="0" fontId="5" fillId="0" borderId="640" xfId="6" applyFont="1" applyBorder="1" applyProtection="1">
      <protection hidden="1"/>
    </xf>
    <xf numFmtId="0" fontId="5" fillId="0" borderId="171" xfId="6" applyFont="1" applyBorder="1" applyProtection="1">
      <protection hidden="1"/>
    </xf>
    <xf numFmtId="1" fontId="26" fillId="4" borderId="196" xfId="2" applyNumberFormat="1" applyFont="1" applyFill="1" applyBorder="1" applyAlignment="1" applyProtection="1">
      <alignment horizontal="left"/>
      <protection hidden="1"/>
    </xf>
    <xf numFmtId="1" fontId="26" fillId="4" borderId="102" xfId="2" applyNumberFormat="1" applyFont="1" applyFill="1" applyBorder="1" applyAlignment="1" applyProtection="1">
      <alignment horizontal="left"/>
      <protection hidden="1"/>
    </xf>
    <xf numFmtId="164" fontId="5" fillId="4" borderId="195" xfId="2" applyNumberFormat="1" applyFill="1" applyBorder="1" applyAlignment="1" applyProtection="1">
      <alignment horizontal="left"/>
      <protection hidden="1"/>
    </xf>
    <xf numFmtId="164" fontId="5" fillId="4" borderId="84" xfId="2" applyNumberFormat="1" applyFill="1" applyBorder="1" applyAlignment="1" applyProtection="1">
      <alignment horizontal="left"/>
      <protection hidden="1"/>
    </xf>
    <xf numFmtId="0" fontId="5" fillId="11" borderId="134" xfId="6" applyFont="1" applyFill="1" applyBorder="1" applyAlignment="1" applyProtection="1">
      <alignment horizontal="center" vertical="center" textRotation="90" wrapText="1"/>
      <protection hidden="1"/>
    </xf>
    <xf numFmtId="0" fontId="5" fillId="17" borderId="134" xfId="6" applyFont="1" applyFill="1" applyBorder="1" applyAlignment="1" applyProtection="1">
      <alignment horizontal="center" vertical="center" textRotation="90" wrapText="1"/>
      <protection hidden="1"/>
    </xf>
    <xf numFmtId="0" fontId="5" fillId="7" borderId="134" xfId="6" applyFont="1" applyFill="1" applyBorder="1" applyAlignment="1" applyProtection="1">
      <alignment horizontal="center" vertical="center" textRotation="90"/>
      <protection hidden="1"/>
    </xf>
    <xf numFmtId="0" fontId="5" fillId="7" borderId="172" xfId="6" applyFont="1" applyFill="1" applyBorder="1" applyAlignment="1" applyProtection="1">
      <alignment horizontal="center" vertical="center" textRotation="90"/>
      <protection hidden="1"/>
    </xf>
    <xf numFmtId="0" fontId="5" fillId="7" borderId="137" xfId="6" applyFont="1" applyFill="1" applyBorder="1" applyAlignment="1" applyProtection="1">
      <alignment horizontal="center" vertical="center" textRotation="90"/>
      <protection hidden="1"/>
    </xf>
    <xf numFmtId="0" fontId="5" fillId="5" borderId="222" xfId="3" applyFont="1" applyFill="1" applyBorder="1" applyAlignment="1" applyProtection="1">
      <alignment horizontal="left"/>
      <protection locked="0"/>
    </xf>
    <xf numFmtId="0" fontId="5" fillId="5" borderId="87" xfId="3" applyFont="1" applyFill="1" applyBorder="1" applyAlignment="1" applyProtection="1">
      <alignment horizontal="left"/>
      <protection locked="0"/>
    </xf>
    <xf numFmtId="0" fontId="32" fillId="4" borderId="10" xfId="6" applyFont="1" applyFill="1" applyBorder="1" applyAlignment="1" applyProtection="1">
      <alignment horizontal="left"/>
      <protection hidden="1"/>
    </xf>
    <xf numFmtId="0" fontId="32" fillId="4" borderId="0" xfId="6" applyFont="1" applyFill="1" applyBorder="1" applyAlignment="1" applyProtection="1">
      <alignment horizontal="left"/>
      <protection hidden="1"/>
    </xf>
    <xf numFmtId="0" fontId="5" fillId="4" borderId="599" xfId="413" applyFont="1" applyFill="1" applyBorder="1" applyAlignment="1" applyProtection="1">
      <alignment horizontal="left"/>
      <protection hidden="1"/>
    </xf>
    <xf numFmtId="0" fontId="9" fillId="4" borderId="302" xfId="6" applyFont="1" applyFill="1" applyBorder="1" applyAlignment="1" applyProtection="1">
      <alignment horizontal="left"/>
      <protection hidden="1"/>
    </xf>
    <xf numFmtId="0" fontId="9" fillId="4" borderId="0" xfId="6" applyFont="1" applyFill="1" applyBorder="1" applyAlignment="1" applyProtection="1">
      <alignment horizontal="left"/>
      <protection hidden="1"/>
    </xf>
    <xf numFmtId="0" fontId="15" fillId="0" borderId="630" xfId="3" applyFont="1" applyBorder="1" applyAlignment="1" applyProtection="1">
      <protection hidden="1"/>
    </xf>
    <xf numFmtId="0" fontId="15" fillId="0" borderId="632" xfId="3" applyFont="1" applyBorder="1" applyAlignment="1" applyProtection="1">
      <protection hidden="1"/>
    </xf>
    <xf numFmtId="0" fontId="5" fillId="0" borderId="52" xfId="2" applyBorder="1" applyAlignment="1" applyProtection="1">
      <alignment horizontal="left"/>
      <protection hidden="1"/>
    </xf>
    <xf numFmtId="0" fontId="5" fillId="0" borderId="86" xfId="2" applyBorder="1" applyAlignment="1" applyProtection="1">
      <alignment horizontal="left"/>
      <protection hidden="1"/>
    </xf>
    <xf numFmtId="0" fontId="19" fillId="5" borderId="655" xfId="0" applyFont="1" applyFill="1" applyBorder="1" applyAlignment="1" applyProtection="1">
      <alignment horizontal="left"/>
      <protection locked="0"/>
    </xf>
    <xf numFmtId="0" fontId="19" fillId="5" borderId="631" xfId="0" applyFont="1" applyFill="1" applyBorder="1" applyAlignment="1" applyProtection="1">
      <alignment horizontal="left"/>
      <protection locked="0"/>
    </xf>
    <xf numFmtId="0" fontId="19" fillId="5" borderId="654" xfId="0" applyFont="1" applyFill="1" applyBorder="1" applyAlignment="1" applyProtection="1">
      <alignment horizontal="left"/>
      <protection locked="0"/>
    </xf>
    <xf numFmtId="0" fontId="148" fillId="0" borderId="654" xfId="6" applyFont="1" applyBorder="1" applyAlignment="1" applyProtection="1">
      <alignment vertical="top"/>
      <protection hidden="1"/>
    </xf>
    <xf numFmtId="0" fontId="148" fillId="0" borderId="124" xfId="6" applyFont="1" applyBorder="1" applyAlignment="1" applyProtection="1">
      <alignment vertical="top"/>
      <protection hidden="1"/>
    </xf>
    <xf numFmtId="0" fontId="148" fillId="0" borderId="182" xfId="6" applyFont="1" applyBorder="1" applyAlignment="1" applyProtection="1">
      <alignment vertical="top"/>
      <protection hidden="1"/>
    </xf>
    <xf numFmtId="0" fontId="5" fillId="0" borderId="223" xfId="6" applyFont="1" applyBorder="1" applyAlignment="1" applyProtection="1">
      <alignment horizontal="right"/>
      <protection hidden="1"/>
    </xf>
    <xf numFmtId="0" fontId="5" fillId="0" borderId="687" xfId="6" applyFont="1" applyBorder="1" applyAlignment="1" applyProtection="1">
      <alignment horizontal="right"/>
      <protection hidden="1"/>
    </xf>
    <xf numFmtId="0" fontId="5" fillId="0" borderId="342" xfId="6" applyFont="1" applyBorder="1" applyAlignment="1" applyProtection="1">
      <protection hidden="1"/>
    </xf>
    <xf numFmtId="0" fontId="5" fillId="0" borderId="178" xfId="6" applyFont="1" applyBorder="1" applyAlignment="1" applyProtection="1">
      <protection hidden="1"/>
    </xf>
    <xf numFmtId="0" fontId="5" fillId="0" borderId="183" xfId="6" applyFont="1" applyBorder="1" applyAlignment="1" applyProtection="1">
      <protection hidden="1"/>
    </xf>
    <xf numFmtId="0" fontId="5" fillId="0" borderId="182" xfId="6" applyFont="1" applyBorder="1" applyAlignment="1" applyProtection="1">
      <protection hidden="1"/>
    </xf>
    <xf numFmtId="0" fontId="5" fillId="0" borderId="154" xfId="6" applyFont="1" applyBorder="1" applyAlignment="1" applyProtection="1">
      <protection hidden="1"/>
    </xf>
    <xf numFmtId="0" fontId="5" fillId="0" borderId="225" xfId="6" applyFont="1" applyBorder="1" applyAlignment="1" applyProtection="1">
      <protection hidden="1"/>
    </xf>
    <xf numFmtId="0" fontId="5" fillId="0" borderId="224" xfId="6" applyFont="1" applyBorder="1" applyAlignment="1" applyProtection="1">
      <alignment horizontal="right"/>
      <protection hidden="1"/>
    </xf>
    <xf numFmtId="0" fontId="5" fillId="0" borderId="688" xfId="6" applyFont="1" applyBorder="1" applyAlignment="1" applyProtection="1">
      <alignment horizontal="right"/>
      <protection hidden="1"/>
    </xf>
    <xf numFmtId="0" fontId="12" fillId="0" borderId="0" xfId="3" applyProtection="1">
      <alignment vertical="top"/>
      <protection hidden="1"/>
    </xf>
    <xf numFmtId="0" fontId="51" fillId="0" borderId="342" xfId="6" applyFont="1" applyBorder="1" applyAlignment="1" applyProtection="1">
      <alignment horizontal="left" vertical="center" textRotation="90"/>
      <protection hidden="1"/>
    </xf>
    <xf numFmtId="0" fontId="51" fillId="0" borderId="526" xfId="6" applyFont="1" applyBorder="1" applyAlignment="1" applyProtection="1">
      <alignment horizontal="left" vertical="center" textRotation="90"/>
      <protection hidden="1"/>
    </xf>
    <xf numFmtId="0" fontId="51" fillId="0" borderId="0" xfId="6" applyFont="1" applyBorder="1" applyAlignment="1" applyProtection="1">
      <alignment horizontal="left" vertical="center" textRotation="90"/>
      <protection hidden="1"/>
    </xf>
    <xf numFmtId="0" fontId="51" fillId="0" borderId="301" xfId="6" applyFont="1" applyBorder="1" applyAlignment="1" applyProtection="1">
      <alignment horizontal="left" vertical="center" textRotation="90"/>
      <protection hidden="1"/>
    </xf>
    <xf numFmtId="0" fontId="51" fillId="0" borderId="515" xfId="6" applyFont="1" applyBorder="1" applyAlignment="1" applyProtection="1">
      <alignment horizontal="left" vertical="center" textRotation="90"/>
      <protection hidden="1"/>
    </xf>
    <xf numFmtId="0" fontId="51" fillId="0" borderId="495" xfId="6" applyFont="1" applyBorder="1" applyAlignment="1" applyProtection="1">
      <alignment horizontal="left" vertical="center" textRotation="90"/>
      <protection hidden="1"/>
    </xf>
    <xf numFmtId="164" fontId="5" fillId="4" borderId="10" xfId="2" applyNumberFormat="1" applyFill="1" applyBorder="1" applyAlignment="1" applyProtection="1">
      <alignment horizontal="left"/>
      <protection hidden="1"/>
    </xf>
    <xf numFmtId="164" fontId="5" fillId="4" borderId="11" xfId="2" applyNumberFormat="1" applyFill="1" applyBorder="1" applyAlignment="1" applyProtection="1">
      <alignment horizontal="left"/>
      <protection hidden="1"/>
    </xf>
    <xf numFmtId="0" fontId="5" fillId="4" borderId="149" xfId="6" applyFont="1" applyFill="1" applyBorder="1" applyAlignment="1" applyProtection="1">
      <protection hidden="1"/>
    </xf>
    <xf numFmtId="0" fontId="5" fillId="4" borderId="86" xfId="6" applyFont="1" applyFill="1" applyBorder="1" applyAlignment="1" applyProtection="1">
      <protection hidden="1"/>
    </xf>
    <xf numFmtId="0" fontId="5" fillId="0" borderId="628" xfId="6" applyFont="1" applyBorder="1" applyAlignment="1" applyProtection="1">
      <alignment horizontal="left"/>
      <protection hidden="1"/>
    </xf>
    <xf numFmtId="0" fontId="5" fillId="27" borderId="132" xfId="6" applyFont="1" applyFill="1" applyBorder="1" applyAlignment="1" applyProtection="1">
      <alignment horizontal="center" vertical="center" textRotation="90" wrapText="1"/>
      <protection hidden="1"/>
    </xf>
    <xf numFmtId="0" fontId="5" fillId="27" borderId="134" xfId="6" applyFont="1" applyFill="1" applyBorder="1" applyAlignment="1" applyProtection="1">
      <alignment horizontal="center" vertical="center" textRotation="90" wrapText="1"/>
      <protection hidden="1"/>
    </xf>
    <xf numFmtId="0" fontId="176" fillId="0" borderId="691" xfId="0" applyFont="1" applyBorder="1" applyAlignment="1" applyProtection="1"/>
    <xf numFmtId="0" fontId="176" fillId="0" borderId="230" xfId="0" applyFont="1" applyBorder="1" applyAlignment="1" applyProtection="1"/>
    <xf numFmtId="0" fontId="176" fillId="0" borderId="60" xfId="0" applyFont="1" applyBorder="1" applyAlignment="1" applyProtection="1"/>
    <xf numFmtId="0" fontId="26" fillId="0" borderId="654" xfId="6" applyFont="1" applyBorder="1" applyAlignment="1" applyProtection="1">
      <protection hidden="1"/>
    </xf>
    <xf numFmtId="0" fontId="26" fillId="0" borderId="115" xfId="6" applyFont="1" applyBorder="1" applyAlignment="1" applyProtection="1">
      <protection hidden="1"/>
    </xf>
    <xf numFmtId="0" fontId="5" fillId="4" borderId="631" xfId="2" applyFill="1" applyBorder="1" applyAlignment="1" applyProtection="1">
      <alignment horizontal="left"/>
      <protection hidden="1"/>
    </xf>
    <xf numFmtId="0" fontId="5" fillId="4" borderId="115" xfId="2" applyFill="1" applyBorder="1" applyAlignment="1" applyProtection="1">
      <alignment horizontal="left"/>
      <protection hidden="1"/>
    </xf>
    <xf numFmtId="1" fontId="5" fillId="4" borderId="10" xfId="2" applyNumberFormat="1" applyFill="1" applyBorder="1" applyAlignment="1" applyProtection="1">
      <alignment horizontal="left"/>
      <protection hidden="1"/>
    </xf>
    <xf numFmtId="1" fontId="26" fillId="4" borderId="266" xfId="2" applyNumberFormat="1" applyFont="1" applyFill="1" applyBorder="1" applyAlignment="1" applyProtection="1">
      <alignment horizontal="left"/>
      <protection hidden="1"/>
    </xf>
    <xf numFmtId="0" fontId="330" fillId="7" borderId="242" xfId="6" applyFont="1" applyFill="1" applyBorder="1" applyAlignment="1" applyProtection="1">
      <alignment horizontal="center"/>
      <protection locked="0"/>
    </xf>
    <xf numFmtId="0" fontId="330" fillId="7" borderId="243" xfId="6" applyFont="1" applyFill="1" applyBorder="1" applyAlignment="1" applyProtection="1">
      <alignment horizontal="center"/>
      <protection locked="0"/>
    </xf>
    <xf numFmtId="0" fontId="26" fillId="0" borderId="52" xfId="6" applyFont="1" applyBorder="1" applyAlignment="1" applyProtection="1">
      <protection hidden="1"/>
    </xf>
    <xf numFmtId="0" fontId="26" fillId="0" borderId="86" xfId="6" applyFont="1" applyBorder="1" applyAlignment="1" applyProtection="1">
      <protection hidden="1"/>
    </xf>
    <xf numFmtId="0" fontId="15" fillId="0" borderId="605" xfId="3" applyFont="1" applyBorder="1" applyAlignment="1" applyProtection="1">
      <alignment horizontal="center"/>
      <protection hidden="1"/>
    </xf>
    <xf numFmtId="0" fontId="15" fillId="0" borderId="604" xfId="3" applyFont="1" applyBorder="1" applyAlignment="1" applyProtection="1">
      <alignment horizontal="center"/>
      <protection hidden="1"/>
    </xf>
    <xf numFmtId="0" fontId="15" fillId="0" borderId="606" xfId="3" applyFont="1" applyBorder="1" applyAlignment="1" applyProtection="1">
      <alignment horizontal="center"/>
      <protection hidden="1"/>
    </xf>
    <xf numFmtId="0" fontId="5" fillId="6" borderId="222" xfId="3" applyFont="1" applyFill="1" applyBorder="1" applyAlignment="1" applyProtection="1">
      <alignment horizontal="left"/>
      <protection locked="0"/>
    </xf>
    <xf numFmtId="0" fontId="5" fillId="6" borderId="87" xfId="3" applyFont="1" applyFill="1" applyBorder="1" applyAlignment="1" applyProtection="1">
      <alignment horizontal="left"/>
      <protection locked="0"/>
    </xf>
    <xf numFmtId="0" fontId="32" fillId="4" borderId="148" xfId="6" applyFont="1" applyFill="1" applyBorder="1" applyAlignment="1" applyProtection="1">
      <alignment horizontal="left"/>
      <protection hidden="1"/>
    </xf>
    <xf numFmtId="0" fontId="5" fillId="4" borderId="655" xfId="413" applyFont="1" applyFill="1" applyBorder="1" applyAlignment="1" applyProtection="1">
      <alignment horizontal="left"/>
      <protection hidden="1"/>
    </xf>
    <xf numFmtId="0" fontId="5" fillId="4" borderId="676" xfId="413" applyFont="1" applyFill="1" applyBorder="1" applyAlignment="1" applyProtection="1">
      <alignment horizontal="left"/>
      <protection hidden="1"/>
    </xf>
    <xf numFmtId="0" fontId="167" fillId="12" borderId="656" xfId="6" applyFont="1" applyFill="1" applyBorder="1" applyAlignment="1" applyProtection="1">
      <alignment horizontal="center" vertical="center"/>
      <protection hidden="1"/>
    </xf>
    <xf numFmtId="0" fontId="167" fillId="12" borderId="469" xfId="6" applyFont="1" applyFill="1" applyBorder="1" applyAlignment="1" applyProtection="1">
      <alignment horizontal="center" vertical="center"/>
      <protection hidden="1"/>
    </xf>
    <xf numFmtId="0" fontId="47" fillId="11" borderId="385" xfId="6" applyFont="1" applyFill="1" applyBorder="1" applyAlignment="1" applyProtection="1">
      <alignment horizontal="center" vertical="center" textRotation="90" wrapText="1"/>
      <protection hidden="1"/>
    </xf>
    <xf numFmtId="0" fontId="47" fillId="11" borderId="677" xfId="6" applyFont="1" applyFill="1" applyBorder="1" applyAlignment="1" applyProtection="1">
      <alignment horizontal="center" vertical="center" textRotation="90" wrapText="1"/>
      <protection hidden="1"/>
    </xf>
    <xf numFmtId="0" fontId="47" fillId="17" borderId="677" xfId="6" applyFont="1" applyFill="1" applyBorder="1" applyAlignment="1" applyProtection="1">
      <alignment horizontal="center" vertical="center" textRotation="90" wrapText="1"/>
      <protection hidden="1"/>
    </xf>
    <xf numFmtId="0" fontId="47" fillId="7" borderId="677" xfId="6" applyFont="1" applyFill="1" applyBorder="1" applyAlignment="1" applyProtection="1">
      <alignment horizontal="center" vertical="center" textRotation="90"/>
      <protection hidden="1"/>
    </xf>
    <xf numFmtId="0" fontId="47" fillId="7" borderId="383" xfId="6" applyFont="1" applyFill="1" applyBorder="1" applyAlignment="1" applyProtection="1">
      <alignment horizontal="center" vertical="center" textRotation="90"/>
      <protection hidden="1"/>
    </xf>
    <xf numFmtId="0" fontId="47" fillId="7" borderId="678" xfId="6" applyFont="1" applyFill="1" applyBorder="1" applyAlignment="1" applyProtection="1">
      <alignment horizontal="center" vertical="center" textRotation="90"/>
      <protection hidden="1"/>
    </xf>
    <xf numFmtId="0" fontId="178" fillId="3" borderId="641" xfId="6" applyFont="1" applyFill="1" applyBorder="1" applyAlignment="1" applyProtection="1">
      <alignment horizontal="center"/>
      <protection hidden="1"/>
    </xf>
    <xf numFmtId="0" fontId="178" fillId="3" borderId="0" xfId="6" applyFont="1" applyFill="1" applyBorder="1" applyAlignment="1" applyProtection="1">
      <alignment horizontal="center"/>
      <protection hidden="1"/>
    </xf>
    <xf numFmtId="0" fontId="1" fillId="4" borderId="641" xfId="6" applyFont="1" applyFill="1" applyBorder="1" applyAlignment="1" applyProtection="1">
      <alignment horizontal="center"/>
      <protection hidden="1"/>
    </xf>
    <xf numFmtId="0" fontId="1" fillId="4" borderId="0" xfId="6" applyFont="1" applyFill="1" applyBorder="1" applyAlignment="1" applyProtection="1">
      <alignment horizontal="center"/>
      <protection hidden="1"/>
    </xf>
    <xf numFmtId="0" fontId="47" fillId="3" borderId="641" xfId="6" applyFont="1" applyFill="1" applyBorder="1" applyAlignment="1" applyProtection="1">
      <alignment horizontal="center" vertical="top"/>
      <protection hidden="1"/>
    </xf>
    <xf numFmtId="0" fontId="47" fillId="3" borderId="0" xfId="6" applyFont="1" applyFill="1" applyBorder="1" applyAlignment="1" applyProtection="1">
      <alignment horizontal="center" vertical="top"/>
      <protection hidden="1"/>
    </xf>
    <xf numFmtId="0" fontId="317" fillId="4" borderId="33" xfId="6" applyFont="1" applyFill="1" applyBorder="1" applyAlignment="1" applyProtection="1">
      <alignment horizontal="center" vertical="center"/>
      <protection hidden="1"/>
    </xf>
    <xf numFmtId="0" fontId="317" fillId="4" borderId="128" xfId="6" applyFont="1" applyFill="1" applyBorder="1" applyAlignment="1" applyProtection="1">
      <alignment horizontal="center" vertical="center"/>
      <protection hidden="1"/>
    </xf>
    <xf numFmtId="0" fontId="329" fillId="4" borderId="33" xfId="6" applyFont="1" applyFill="1" applyBorder="1" applyAlignment="1" applyProtection="1">
      <alignment horizontal="center" vertical="center"/>
      <protection hidden="1"/>
    </xf>
    <xf numFmtId="0" fontId="329" fillId="4" borderId="128" xfId="6" applyFont="1" applyFill="1" applyBorder="1" applyAlignment="1" applyProtection="1">
      <alignment horizontal="center" vertical="center"/>
      <protection hidden="1"/>
    </xf>
    <xf numFmtId="0" fontId="5" fillId="4" borderId="52" xfId="2" applyFill="1" applyBorder="1" applyAlignment="1" applyProtection="1">
      <alignment horizontal="left"/>
      <protection hidden="1"/>
    </xf>
    <xf numFmtId="0" fontId="5" fillId="4" borderId="86" xfId="2" applyFill="1" applyBorder="1" applyAlignment="1" applyProtection="1">
      <alignment horizontal="left"/>
      <protection hidden="1"/>
    </xf>
    <xf numFmtId="0" fontId="37" fillId="3" borderId="16" xfId="2" applyFont="1" applyFill="1" applyBorder="1" applyAlignment="1" applyProtection="1">
      <alignment horizontal="center"/>
      <protection hidden="1"/>
    </xf>
    <xf numFmtId="0" fontId="37" fillId="3" borderId="17" xfId="2" applyFont="1" applyFill="1" applyBorder="1" applyAlignment="1" applyProtection="1">
      <alignment horizontal="center"/>
      <protection hidden="1"/>
    </xf>
    <xf numFmtId="0" fontId="37" fillId="3" borderId="20" xfId="2" applyFont="1" applyFill="1" applyBorder="1" applyAlignment="1" applyProtection="1">
      <alignment horizontal="center"/>
      <protection hidden="1"/>
    </xf>
    <xf numFmtId="0" fontId="148" fillId="0" borderId="656" xfId="6" applyFont="1" applyBorder="1" applyAlignment="1" applyProtection="1">
      <alignment vertical="top" wrapText="1"/>
      <protection hidden="1"/>
    </xf>
    <xf numFmtId="0" fontId="26" fillId="3" borderId="655" xfId="6" applyFont="1" applyFill="1" applyBorder="1" applyAlignment="1" applyProtection="1">
      <alignment horizontal="center" vertical="center" wrapText="1"/>
      <protection hidden="1"/>
    </xf>
    <xf numFmtId="0" fontId="26" fillId="3" borderId="631" xfId="6" applyFont="1" applyFill="1" applyBorder="1" applyAlignment="1" applyProtection="1">
      <alignment horizontal="center" vertical="center" wrapText="1"/>
      <protection hidden="1"/>
    </xf>
    <xf numFmtId="0" fontId="26" fillId="3" borderId="654" xfId="6" applyFont="1" applyFill="1" applyBorder="1" applyAlignment="1" applyProtection="1">
      <alignment horizontal="center" vertical="center" wrapText="1"/>
      <protection hidden="1"/>
    </xf>
    <xf numFmtId="0" fontId="162" fillId="4" borderId="181" xfId="6" applyFont="1" applyFill="1" applyBorder="1" applyAlignment="1" applyProtection="1">
      <alignment horizontal="center" wrapText="1"/>
      <protection hidden="1"/>
    </xf>
    <xf numFmtId="0" fontId="162" fillId="4" borderId="178" xfId="6" applyFont="1" applyFill="1" applyBorder="1" applyAlignment="1" applyProtection="1">
      <alignment horizontal="center" wrapText="1"/>
      <protection hidden="1"/>
    </xf>
    <xf numFmtId="0" fontId="44" fillId="0" borderId="605" xfId="3" applyFont="1" applyBorder="1" applyAlignment="1" applyProtection="1">
      <alignment horizontal="center"/>
      <protection hidden="1"/>
    </xf>
    <xf numFmtId="0" fontId="44" fillId="0" borderId="604" xfId="3" applyFont="1" applyBorder="1" applyAlignment="1" applyProtection="1">
      <alignment horizontal="center"/>
      <protection hidden="1"/>
    </xf>
    <xf numFmtId="0" fontId="44" fillId="0" borderId="606" xfId="3" applyFont="1" applyBorder="1" applyAlignment="1" applyProtection="1">
      <alignment horizontal="center"/>
      <protection hidden="1"/>
    </xf>
    <xf numFmtId="0" fontId="163" fillId="5" borderId="242" xfId="6" applyFont="1" applyFill="1" applyBorder="1" applyAlignment="1" applyProtection="1">
      <alignment horizontal="center"/>
      <protection locked="0"/>
    </xf>
    <xf numFmtId="0" fontId="1" fillId="0" borderId="243" xfId="6" applyFont="1" applyBorder="1" applyAlignment="1" applyProtection="1">
      <alignment horizontal="center"/>
      <protection locked="0"/>
    </xf>
    <xf numFmtId="164" fontId="5" fillId="0" borderId="625" xfId="6" applyNumberFormat="1" applyFont="1" applyBorder="1" applyAlignment="1" applyProtection="1">
      <protection hidden="1"/>
    </xf>
    <xf numFmtId="164" fontId="5" fillId="0" borderId="307" xfId="6" applyNumberFormat="1" applyFont="1" applyBorder="1" applyAlignment="1" applyProtection="1">
      <protection hidden="1"/>
    </xf>
    <xf numFmtId="0" fontId="117" fillId="27" borderId="276" xfId="6" applyFont="1" applyFill="1" applyBorder="1" applyAlignment="1" applyProtection="1">
      <alignment horizontal="right" vertical="center" textRotation="90" wrapText="1"/>
      <protection hidden="1"/>
    </xf>
    <xf numFmtId="0" fontId="117" fillId="27" borderId="277" xfId="6" applyFont="1" applyFill="1" applyBorder="1" applyAlignment="1" applyProtection="1">
      <alignment horizontal="right" vertical="center" textRotation="90" wrapText="1"/>
      <protection hidden="1"/>
    </xf>
    <xf numFmtId="0" fontId="117" fillId="11" borderId="277" xfId="6" applyFont="1" applyFill="1" applyBorder="1" applyAlignment="1" applyProtection="1">
      <alignment horizontal="center" vertical="center" textRotation="90" wrapText="1"/>
      <protection hidden="1"/>
    </xf>
    <xf numFmtId="0" fontId="27" fillId="3" borderId="302" xfId="6" applyFont="1" applyFill="1" applyBorder="1" applyAlignment="1" applyProtection="1">
      <alignment horizontal="left"/>
      <protection hidden="1"/>
    </xf>
    <xf numFmtId="0" fontId="27" fillId="3" borderId="0" xfId="6" applyFont="1" applyFill="1" applyBorder="1" applyAlignment="1" applyProtection="1">
      <alignment horizontal="left"/>
      <protection hidden="1"/>
    </xf>
    <xf numFmtId="0" fontId="9" fillId="3" borderId="302" xfId="6" applyFont="1" applyFill="1" applyBorder="1" applyAlignment="1" applyProtection="1">
      <alignment horizontal="left"/>
      <protection hidden="1"/>
    </xf>
    <xf numFmtId="0" fontId="9" fillId="3" borderId="0" xfId="6" applyFont="1" applyFill="1" applyBorder="1" applyAlignment="1" applyProtection="1">
      <alignment horizontal="left"/>
      <protection hidden="1"/>
    </xf>
    <xf numFmtId="0" fontId="32" fillId="0" borderId="17" xfId="6" applyFont="1" applyBorder="1" applyAlignment="1" applyProtection="1">
      <alignment horizontal="left"/>
      <protection hidden="1"/>
    </xf>
    <xf numFmtId="0" fontId="32" fillId="0" borderId="287" xfId="6" applyFont="1" applyBorder="1" applyAlignment="1" applyProtection="1">
      <alignment horizontal="left"/>
      <protection hidden="1"/>
    </xf>
    <xf numFmtId="0" fontId="32" fillId="0" borderId="292" xfId="6" applyFont="1" applyBorder="1" applyAlignment="1" applyProtection="1">
      <alignment horizontal="left"/>
      <protection hidden="1"/>
    </xf>
    <xf numFmtId="0" fontId="153" fillId="3" borderId="181" xfId="6" applyFont="1" applyFill="1" applyBorder="1" applyAlignment="1" applyProtection="1">
      <alignment horizontal="left" vertical="top"/>
      <protection hidden="1"/>
    </xf>
    <xf numFmtId="0" fontId="153" fillId="3" borderId="16" xfId="6" applyFont="1" applyFill="1" applyBorder="1" applyAlignment="1" applyProtection="1">
      <alignment horizontal="left" vertical="top"/>
      <protection hidden="1"/>
    </xf>
    <xf numFmtId="0" fontId="26" fillId="10" borderId="262" xfId="6" applyFont="1" applyFill="1" applyBorder="1" applyAlignment="1" applyProtection="1">
      <alignment horizontal="left"/>
      <protection hidden="1"/>
    </xf>
    <xf numFmtId="0" fontId="26" fillId="10" borderId="269" xfId="6" applyFont="1" applyFill="1" applyBorder="1" applyAlignment="1" applyProtection="1">
      <alignment horizontal="left"/>
      <protection hidden="1"/>
    </xf>
    <xf numFmtId="0" fontId="26" fillId="10" borderId="261" xfId="6" applyFont="1" applyFill="1" applyBorder="1" applyAlignment="1" applyProtection="1">
      <alignment horizontal="left"/>
      <protection hidden="1"/>
    </xf>
    <xf numFmtId="0" fontId="5" fillId="3" borderId="181" xfId="6" applyFont="1" applyFill="1" applyBorder="1" applyAlignment="1" applyProtection="1">
      <alignment horizontal="center"/>
      <protection hidden="1"/>
    </xf>
    <xf numFmtId="0" fontId="5" fillId="3" borderId="183" xfId="6" applyFont="1" applyFill="1" applyBorder="1" applyAlignment="1" applyProtection="1">
      <alignment horizontal="center"/>
      <protection hidden="1"/>
    </xf>
    <xf numFmtId="0" fontId="5" fillId="3" borderId="10" xfId="6" applyFont="1" applyFill="1" applyBorder="1" applyAlignment="1" applyProtection="1">
      <alignment horizontal="center"/>
      <protection hidden="1"/>
    </xf>
    <xf numFmtId="0" fontId="5" fillId="3" borderId="21" xfId="6" applyFont="1" applyFill="1" applyBorder="1" applyAlignment="1" applyProtection="1">
      <alignment horizontal="center"/>
      <protection hidden="1"/>
    </xf>
    <xf numFmtId="0" fontId="5" fillId="3" borderId="602" xfId="6" applyFont="1" applyFill="1" applyBorder="1" applyAlignment="1" applyProtection="1">
      <alignment horizontal="center"/>
      <protection hidden="1"/>
    </xf>
    <xf numFmtId="0" fontId="5" fillId="3" borderId="20" xfId="6" applyFont="1" applyFill="1" applyBorder="1" applyAlignment="1" applyProtection="1">
      <alignment horizontal="center"/>
      <protection hidden="1"/>
    </xf>
    <xf numFmtId="0" fontId="27" fillId="3" borderId="341" xfId="6" applyFont="1" applyFill="1" applyBorder="1" applyAlignment="1" applyProtection="1">
      <alignment horizontal="center"/>
      <protection hidden="1"/>
    </xf>
    <xf numFmtId="0" fontId="0" fillId="0" borderId="342" xfId="0" applyBorder="1" applyAlignment="1" applyProtection="1">
      <protection hidden="1"/>
    </xf>
    <xf numFmtId="0" fontId="0" fillId="0" borderId="343" xfId="0" applyBorder="1" applyAlignment="1" applyProtection="1">
      <protection hidden="1"/>
    </xf>
    <xf numFmtId="0" fontId="41" fillId="3" borderId="466" xfId="2" applyFont="1" applyFill="1" applyBorder="1" applyAlignment="1" applyProtection="1">
      <alignment horizontal="center" vertical="center" wrapText="1"/>
      <protection hidden="1"/>
    </xf>
    <xf numFmtId="0" fontId="41" fillId="3" borderId="178" xfId="2" applyFont="1" applyFill="1" applyBorder="1" applyAlignment="1" applyProtection="1">
      <alignment horizontal="center" vertical="center" wrapText="1"/>
      <protection hidden="1"/>
    </xf>
    <xf numFmtId="0" fontId="41" fillId="3" borderId="367" xfId="2" applyFont="1" applyFill="1" applyBorder="1" applyAlignment="1" applyProtection="1">
      <alignment horizontal="center" vertical="center" wrapText="1"/>
      <protection hidden="1"/>
    </xf>
    <xf numFmtId="0" fontId="41" fillId="3" borderId="516" xfId="2" applyFont="1" applyFill="1" applyBorder="1" applyAlignment="1" applyProtection="1">
      <alignment horizontal="center" vertical="center" wrapText="1"/>
      <protection hidden="1"/>
    </xf>
    <xf numFmtId="0" fontId="41" fillId="3" borderId="515" xfId="2" applyFont="1" applyFill="1" applyBorder="1" applyAlignment="1" applyProtection="1">
      <alignment horizontal="center" vertical="center" wrapText="1"/>
      <protection hidden="1"/>
    </xf>
    <xf numFmtId="0" fontId="41" fillId="3" borderId="527" xfId="2" applyFont="1" applyFill="1" applyBorder="1" applyAlignment="1" applyProtection="1">
      <alignment horizontal="center" vertical="center" wrapText="1"/>
      <protection hidden="1"/>
    </xf>
    <xf numFmtId="0" fontId="19" fillId="5" borderId="115" xfId="6" applyFont="1" applyFill="1" applyBorder="1" applyAlignment="1" applyProtection="1">
      <alignment wrapText="1"/>
      <protection locked="0"/>
    </xf>
    <xf numFmtId="0" fontId="19" fillId="5" borderId="184" xfId="6" applyFont="1" applyFill="1" applyBorder="1" applyAlignment="1" applyProtection="1">
      <alignment wrapText="1"/>
      <protection locked="0"/>
    </xf>
    <xf numFmtId="0" fontId="19" fillId="5" borderId="158" xfId="6" applyFont="1" applyFill="1" applyBorder="1" applyAlignment="1" applyProtection="1">
      <alignment wrapText="1"/>
      <protection locked="0"/>
    </xf>
    <xf numFmtId="0" fontId="35" fillId="3" borderId="16" xfId="2" applyFont="1" applyFill="1" applyBorder="1" applyAlignment="1" applyProtection="1">
      <alignment horizontal="center"/>
      <protection hidden="1"/>
    </xf>
    <xf numFmtId="0" fontId="35" fillId="3" borderId="17" xfId="2" applyFont="1" applyFill="1" applyBorder="1" applyAlignment="1" applyProtection="1">
      <alignment horizontal="center"/>
      <protection hidden="1"/>
    </xf>
    <xf numFmtId="0" fontId="35" fillId="3" borderId="287" xfId="2" applyFont="1" applyFill="1" applyBorder="1" applyAlignment="1" applyProtection="1">
      <alignment horizontal="center"/>
      <protection hidden="1"/>
    </xf>
    <xf numFmtId="0" fontId="35" fillId="3" borderId="20" xfId="2" applyFont="1" applyFill="1" applyBorder="1" applyAlignment="1" applyProtection="1">
      <alignment horizontal="center"/>
      <protection hidden="1"/>
    </xf>
    <xf numFmtId="2" fontId="166" fillId="12" borderId="646" xfId="6" applyNumberFormat="1" applyFont="1" applyFill="1" applyBorder="1" applyAlignment="1" applyProtection="1">
      <alignment horizontal="center" wrapText="1"/>
    </xf>
    <xf numFmtId="2" fontId="166" fillId="12" borderId="255" xfId="6" applyNumberFormat="1" applyFont="1" applyFill="1" applyBorder="1" applyAlignment="1" applyProtection="1">
      <alignment horizontal="center" wrapText="1"/>
    </xf>
    <xf numFmtId="2" fontId="166" fillId="12" borderId="767" xfId="6" applyNumberFormat="1" applyFont="1" applyFill="1" applyBorder="1" applyAlignment="1" applyProtection="1">
      <alignment horizontal="center" vertical="top"/>
    </xf>
    <xf numFmtId="2" fontId="166" fillId="12" borderId="766" xfId="6" applyNumberFormat="1" applyFont="1" applyFill="1" applyBorder="1" applyAlignment="1" applyProtection="1">
      <alignment horizontal="center" vertical="top"/>
    </xf>
    <xf numFmtId="0" fontId="204" fillId="0" borderId="595" xfId="6" applyFont="1" applyBorder="1" applyAlignment="1" applyProtection="1">
      <alignment horizontal="center" vertical="center" textRotation="90"/>
      <protection hidden="1"/>
    </xf>
    <xf numFmtId="0" fontId="204" fillId="0" borderId="302" xfId="6" applyFont="1" applyBorder="1" applyAlignment="1" applyProtection="1">
      <alignment horizontal="center" vertical="center" textRotation="90"/>
      <protection hidden="1"/>
    </xf>
    <xf numFmtId="0" fontId="204" fillId="0" borderId="516" xfId="6" applyFont="1" applyBorder="1" applyAlignment="1" applyProtection="1">
      <alignment horizontal="center" vertical="center" textRotation="90"/>
      <protection hidden="1"/>
    </xf>
    <xf numFmtId="0" fontId="51" fillId="4" borderId="399" xfId="6" applyFont="1" applyFill="1" applyBorder="1" applyAlignment="1" applyProtection="1">
      <alignment horizontal="left" vertical="center" textRotation="90"/>
      <protection hidden="1"/>
    </xf>
    <xf numFmtId="0" fontId="51" fillId="4" borderId="301" xfId="6" applyFont="1" applyFill="1" applyBorder="1" applyAlignment="1" applyProtection="1">
      <alignment horizontal="left" vertical="center" textRotation="90"/>
      <protection hidden="1"/>
    </xf>
    <xf numFmtId="0" fontId="51" fillId="4" borderId="710" xfId="6" applyFont="1" applyFill="1" applyBorder="1" applyAlignment="1" applyProtection="1">
      <alignment horizontal="left" vertical="center" textRotation="90"/>
      <protection hidden="1"/>
    </xf>
    <xf numFmtId="0" fontId="117" fillId="17" borderId="277" xfId="6" applyFont="1" applyFill="1" applyBorder="1" applyAlignment="1" applyProtection="1">
      <alignment horizontal="center" vertical="center" textRotation="90" wrapText="1"/>
      <protection hidden="1"/>
    </xf>
    <xf numFmtId="0" fontId="117" fillId="7" borderId="277" xfId="6" applyFont="1" applyFill="1" applyBorder="1" applyAlignment="1" applyProtection="1">
      <alignment horizontal="center" vertical="center" textRotation="90"/>
      <protection hidden="1"/>
    </xf>
    <xf numFmtId="0" fontId="117" fillId="7" borderId="594" xfId="6" applyFont="1" applyFill="1" applyBorder="1" applyAlignment="1" applyProtection="1">
      <alignment horizontal="center" vertical="center" textRotation="90"/>
      <protection hidden="1"/>
    </xf>
    <xf numFmtId="0" fontId="117" fillId="7" borderId="279" xfId="6" applyFont="1" applyFill="1" applyBorder="1" applyAlignment="1" applyProtection="1">
      <alignment horizontal="center" vertical="center" textRotation="90"/>
      <protection hidden="1"/>
    </xf>
    <xf numFmtId="0" fontId="44" fillId="0" borderId="184" xfId="6" applyFont="1" applyBorder="1" applyAlignment="1" applyProtection="1">
      <alignment horizontal="left"/>
      <protection hidden="1"/>
    </xf>
    <xf numFmtId="0" fontId="44" fillId="0" borderId="177" xfId="6" applyFont="1" applyBorder="1" applyAlignment="1" applyProtection="1">
      <alignment horizontal="left"/>
      <protection hidden="1"/>
    </xf>
    <xf numFmtId="0" fontId="44" fillId="0" borderId="158" xfId="6" applyFont="1" applyBorder="1" applyAlignment="1" applyProtection="1">
      <alignment horizontal="left"/>
      <protection hidden="1"/>
    </xf>
    <xf numFmtId="0" fontId="44" fillId="0" borderId="143" xfId="6" applyFont="1" applyBorder="1" applyAlignment="1" applyProtection="1">
      <alignment horizontal="left"/>
      <protection hidden="1"/>
    </xf>
    <xf numFmtId="0" fontId="9" fillId="0" borderId="466" xfId="6" applyFont="1" applyBorder="1" applyAlignment="1" applyProtection="1">
      <alignment horizontal="left"/>
      <protection hidden="1"/>
    </xf>
    <xf numFmtId="0" fontId="9" fillId="0" borderId="399" xfId="6" applyFont="1" applyBorder="1" applyAlignment="1" applyProtection="1">
      <alignment horizontal="left"/>
      <protection hidden="1"/>
    </xf>
    <xf numFmtId="0" fontId="34" fillId="0" borderId="342" xfId="6" applyFont="1" applyBorder="1" applyAlignment="1" applyProtection="1">
      <alignment horizontal="center" vertical="center" wrapText="1"/>
      <protection hidden="1"/>
    </xf>
    <xf numFmtId="0" fontId="34" fillId="0" borderId="399" xfId="6" applyFont="1" applyBorder="1" applyAlignment="1" applyProtection="1">
      <alignment horizontal="center" vertical="center" wrapText="1"/>
      <protection hidden="1"/>
    </xf>
    <xf numFmtId="0" fontId="34" fillId="0" borderId="516" xfId="6" applyFont="1" applyBorder="1" applyAlignment="1" applyProtection="1">
      <alignment horizontal="center" vertical="center" wrapText="1"/>
      <protection hidden="1"/>
    </xf>
    <xf numFmtId="0" fontId="34" fillId="0" borderId="515" xfId="6" applyFont="1" applyBorder="1" applyAlignment="1" applyProtection="1">
      <alignment horizontal="center" vertical="center" wrapText="1"/>
      <protection hidden="1"/>
    </xf>
    <xf numFmtId="0" fontId="34" fillId="0" borderId="592" xfId="6" applyFont="1" applyBorder="1" applyAlignment="1" applyProtection="1">
      <alignment horizontal="center" vertical="center" wrapText="1"/>
      <protection hidden="1"/>
    </xf>
    <xf numFmtId="0" fontId="36" fillId="0" borderId="342" xfId="6" applyFont="1" applyBorder="1" applyAlignment="1" applyProtection="1">
      <alignment horizontal="center" vertical="center" wrapText="1"/>
      <protection hidden="1"/>
    </xf>
    <xf numFmtId="0" fontId="36" fillId="0" borderId="399" xfId="6" applyFont="1" applyBorder="1" applyAlignment="1" applyProtection="1">
      <alignment horizontal="center" vertical="center" wrapText="1"/>
      <protection hidden="1"/>
    </xf>
    <xf numFmtId="0" fontId="36" fillId="0" borderId="516" xfId="6" applyFont="1" applyBorder="1" applyAlignment="1" applyProtection="1">
      <alignment horizontal="center" vertical="center" wrapText="1"/>
      <protection hidden="1"/>
    </xf>
    <xf numFmtId="0" fontId="36" fillId="0" borderId="515" xfId="6" applyFont="1" applyBorder="1" applyAlignment="1" applyProtection="1">
      <alignment horizontal="center" vertical="center" wrapText="1"/>
      <protection hidden="1"/>
    </xf>
    <xf numFmtId="0" fontId="36" fillId="0" borderId="592" xfId="6" applyFont="1" applyBorder="1" applyAlignment="1" applyProtection="1">
      <alignment horizontal="center" vertical="center" wrapText="1"/>
      <protection hidden="1"/>
    </xf>
    <xf numFmtId="164" fontId="40" fillId="0" borderId="342" xfId="2" applyNumberFormat="1" applyFont="1" applyBorder="1" applyAlignment="1" applyProtection="1">
      <alignment horizontal="center" vertical="center" wrapText="1"/>
      <protection hidden="1"/>
    </xf>
    <xf numFmtId="164" fontId="40" fillId="0" borderId="399" xfId="2" applyNumberFormat="1" applyFont="1" applyBorder="1" applyAlignment="1" applyProtection="1">
      <alignment horizontal="center" vertical="center" wrapText="1"/>
      <protection hidden="1"/>
    </xf>
    <xf numFmtId="164" fontId="40" fillId="0" borderId="516" xfId="2" applyNumberFormat="1" applyFont="1" applyBorder="1" applyAlignment="1" applyProtection="1">
      <alignment horizontal="center" vertical="center" wrapText="1"/>
      <protection hidden="1"/>
    </xf>
    <xf numFmtId="164" fontId="40" fillId="0" borderId="515" xfId="2" applyNumberFormat="1" applyFont="1" applyBorder="1" applyAlignment="1" applyProtection="1">
      <alignment horizontal="center" vertical="center" wrapText="1"/>
      <protection hidden="1"/>
    </xf>
    <xf numFmtId="164" fontId="40" fillId="0" borderId="592" xfId="2" applyNumberFormat="1" applyFont="1" applyBorder="1" applyAlignment="1" applyProtection="1">
      <alignment horizontal="center" vertical="center" wrapText="1"/>
      <protection hidden="1"/>
    </xf>
    <xf numFmtId="0" fontId="27" fillId="4" borderId="302" xfId="6" applyFont="1" applyFill="1" applyBorder="1" applyAlignment="1" applyProtection="1">
      <alignment horizontal="left" vertical="center" textRotation="90" wrapText="1"/>
      <protection hidden="1"/>
    </xf>
    <xf numFmtId="0" fontId="5" fillId="0" borderId="641" xfId="6" applyFont="1" applyBorder="1" applyAlignment="1" applyProtection="1">
      <alignment horizontal="left"/>
      <protection hidden="1"/>
    </xf>
    <xf numFmtId="0" fontId="5" fillId="0" borderId="301" xfId="6" applyFont="1" applyBorder="1" applyAlignment="1" applyProtection="1">
      <alignment horizontal="left"/>
      <protection hidden="1"/>
    </xf>
    <xf numFmtId="1" fontId="9" fillId="0" borderId="641" xfId="6" applyNumberFormat="1" applyFont="1" applyBorder="1" applyAlignment="1" applyProtection="1">
      <alignment horizontal="left"/>
      <protection hidden="1"/>
    </xf>
    <xf numFmtId="1" fontId="9" fillId="0" borderId="301" xfId="6" applyNumberFormat="1" applyFont="1" applyBorder="1" applyAlignment="1" applyProtection="1">
      <alignment horizontal="left"/>
      <protection hidden="1"/>
    </xf>
    <xf numFmtId="0" fontId="5" fillId="0" borderId="10" xfId="6" applyFont="1" applyBorder="1" applyAlignment="1" applyProtection="1">
      <alignment horizontal="left"/>
      <protection hidden="1"/>
    </xf>
    <xf numFmtId="0" fontId="5" fillId="0" borderId="21" xfId="6" applyFont="1" applyBorder="1" applyAlignment="1" applyProtection="1">
      <alignment horizontal="left"/>
      <protection hidden="1"/>
    </xf>
    <xf numFmtId="0" fontId="15" fillId="0" borderId="581" xfId="3" applyFont="1" applyBorder="1" applyAlignment="1" applyProtection="1">
      <alignment horizontal="left"/>
      <protection hidden="1"/>
    </xf>
    <xf numFmtId="0" fontId="15" fillId="0" borderId="301" xfId="3" applyFont="1" applyBorder="1" applyAlignment="1" applyProtection="1">
      <alignment horizontal="left"/>
      <protection hidden="1"/>
    </xf>
    <xf numFmtId="0" fontId="9" fillId="0" borderId="281" xfId="6" applyFont="1" applyBorder="1" applyAlignment="1" applyProtection="1">
      <alignment horizontal="left"/>
      <protection hidden="1"/>
    </xf>
    <xf numFmtId="0" fontId="9" fillId="0" borderId="282" xfId="6" applyFont="1" applyBorder="1" applyAlignment="1" applyProtection="1">
      <alignment horizontal="left"/>
      <protection hidden="1"/>
    </xf>
    <xf numFmtId="0" fontId="5" fillId="14" borderId="181" xfId="6" applyFont="1" applyFill="1" applyBorder="1" applyAlignment="1" applyProtection="1">
      <alignment horizontal="left"/>
      <protection hidden="1"/>
    </xf>
    <xf numFmtId="0" fontId="5" fillId="14" borderId="183" xfId="6" applyFont="1" applyFill="1" applyBorder="1" applyAlignment="1" applyProtection="1">
      <alignment horizontal="left"/>
      <protection hidden="1"/>
    </xf>
    <xf numFmtId="0" fontId="5" fillId="14" borderId="281" xfId="6" applyFont="1" applyFill="1" applyBorder="1" applyAlignment="1" applyProtection="1">
      <alignment horizontal="left"/>
      <protection hidden="1"/>
    </xf>
    <xf numFmtId="0" fontId="5" fillId="14" borderId="282" xfId="6" applyFont="1" applyFill="1" applyBorder="1" applyAlignment="1" applyProtection="1">
      <alignment horizontal="left"/>
      <protection hidden="1"/>
    </xf>
    <xf numFmtId="0" fontId="5" fillId="14" borderId="281" xfId="6" applyFont="1" applyFill="1" applyBorder="1" applyAlignment="1" applyProtection="1">
      <alignment horizontal="center"/>
      <protection hidden="1"/>
    </xf>
    <xf numFmtId="0" fontId="5" fillId="14" borderId="17" xfId="6" applyFont="1" applyFill="1" applyBorder="1" applyAlignment="1" applyProtection="1">
      <alignment horizontal="center"/>
      <protection hidden="1"/>
    </xf>
    <xf numFmtId="0" fontId="5" fillId="14" borderId="287" xfId="6" applyFont="1" applyFill="1" applyBorder="1" applyAlignment="1" applyProtection="1">
      <alignment horizontal="center"/>
      <protection hidden="1"/>
    </xf>
    <xf numFmtId="0" fontId="5" fillId="14" borderId="282" xfId="6" applyFont="1" applyFill="1" applyBorder="1" applyAlignment="1" applyProtection="1">
      <alignment horizontal="center"/>
      <protection hidden="1"/>
    </xf>
    <xf numFmtId="0" fontId="5" fillId="14" borderId="288" xfId="6" applyFont="1" applyFill="1" applyBorder="1" applyAlignment="1" applyProtection="1">
      <alignment horizontal="center"/>
      <protection hidden="1"/>
    </xf>
    <xf numFmtId="0" fontId="5" fillId="14" borderId="292" xfId="6" applyFont="1" applyFill="1" applyBorder="1" applyAlignment="1" applyProtection="1">
      <alignment horizontal="center"/>
      <protection hidden="1"/>
    </xf>
    <xf numFmtId="0" fontId="26" fillId="0" borderId="335" xfId="6" applyFont="1" applyBorder="1" applyAlignment="1" applyProtection="1">
      <protection hidden="1"/>
    </xf>
    <xf numFmtId="0" fontId="26" fillId="0" borderId="334" xfId="6" applyFont="1" applyBorder="1" applyAlignment="1" applyProtection="1">
      <protection hidden="1"/>
    </xf>
    <xf numFmtId="164" fontId="35" fillId="0" borderId="330" xfId="6" applyNumberFormat="1" applyFont="1" applyBorder="1" applyAlignment="1" applyProtection="1">
      <alignment horizontal="center" wrapText="1"/>
      <protection hidden="1"/>
    </xf>
    <xf numFmtId="164" fontId="35" fillId="0" borderId="331" xfId="6" applyNumberFormat="1" applyFont="1" applyBorder="1" applyAlignment="1" applyProtection="1">
      <alignment horizontal="center" wrapText="1"/>
      <protection hidden="1"/>
    </xf>
    <xf numFmtId="164" fontId="35" fillId="0" borderId="332" xfId="6" applyNumberFormat="1" applyFont="1" applyBorder="1" applyAlignment="1" applyProtection="1">
      <alignment horizontal="center" wrapText="1"/>
      <protection hidden="1"/>
    </xf>
    <xf numFmtId="164" fontId="37" fillId="0" borderId="330" xfId="6" applyNumberFormat="1" applyFont="1" applyBorder="1" applyAlignment="1" applyProtection="1">
      <alignment horizontal="center" wrapText="1"/>
      <protection hidden="1"/>
    </xf>
    <xf numFmtId="164" fontId="37" fillId="0" borderId="331" xfId="6" applyNumberFormat="1" applyFont="1" applyBorder="1" applyAlignment="1" applyProtection="1">
      <alignment horizontal="center" wrapText="1"/>
      <protection hidden="1"/>
    </xf>
    <xf numFmtId="164" fontId="37" fillId="0" borderId="332" xfId="6" applyNumberFormat="1" applyFont="1" applyBorder="1" applyAlignment="1" applyProtection="1">
      <alignment horizontal="center" wrapText="1"/>
      <protection hidden="1"/>
    </xf>
    <xf numFmtId="164" fontId="41" fillId="0" borderId="330" xfId="6" applyNumberFormat="1" applyFont="1" applyBorder="1" applyAlignment="1" applyProtection="1">
      <alignment horizontal="center" wrapText="1"/>
      <protection hidden="1"/>
    </xf>
    <xf numFmtId="164" fontId="41" fillId="0" borderId="331" xfId="6" applyNumberFormat="1" applyFont="1" applyBorder="1" applyAlignment="1" applyProtection="1">
      <alignment horizontal="center" wrapText="1"/>
      <protection hidden="1"/>
    </xf>
    <xf numFmtId="164" fontId="41" fillId="0" borderId="332" xfId="6" applyNumberFormat="1" applyFont="1" applyBorder="1" applyAlignment="1" applyProtection="1">
      <alignment horizontal="center" wrapText="1"/>
      <protection hidden="1"/>
    </xf>
    <xf numFmtId="0" fontId="5" fillId="4" borderId="531" xfId="413" applyFont="1" applyFill="1" applyBorder="1" applyAlignment="1" applyProtection="1">
      <alignment horizontal="left"/>
      <protection hidden="1"/>
    </xf>
    <xf numFmtId="0" fontId="5" fillId="4" borderId="604" xfId="413" applyFont="1" applyFill="1" applyBorder="1" applyAlignment="1" applyProtection="1">
      <alignment horizontal="left"/>
      <protection hidden="1"/>
    </xf>
    <xf numFmtId="0" fontId="166" fillId="66" borderId="574" xfId="2" applyFont="1" applyFill="1" applyBorder="1" applyAlignment="1" applyProtection="1">
      <alignment horizontal="center"/>
    </xf>
    <xf numFmtId="0" fontId="166" fillId="66" borderId="569" xfId="2" applyFont="1" applyFill="1" applyBorder="1" applyAlignment="1" applyProtection="1">
      <alignment horizontal="center"/>
    </xf>
    <xf numFmtId="164" fontId="34" fillId="2" borderId="330" xfId="6" applyNumberFormat="1" applyFont="1" applyFill="1" applyBorder="1" applyAlignment="1" applyProtection="1">
      <alignment horizontal="center" vertical="center" wrapText="1"/>
      <protection hidden="1"/>
    </xf>
    <xf numFmtId="164" fontId="34" fillId="2" borderId="331" xfId="6" applyNumberFormat="1" applyFont="1" applyFill="1" applyBorder="1" applyAlignment="1" applyProtection="1">
      <alignment horizontal="center" vertical="center" wrapText="1"/>
      <protection hidden="1"/>
    </xf>
    <xf numFmtId="164" fontId="34" fillId="2" borderId="332" xfId="6" applyNumberFormat="1" applyFont="1" applyFill="1" applyBorder="1" applyAlignment="1" applyProtection="1">
      <alignment horizontal="center" vertical="center" wrapText="1"/>
      <protection hidden="1"/>
    </xf>
    <xf numFmtId="164" fontId="36" fillId="2" borderId="330" xfId="6" applyNumberFormat="1" applyFont="1" applyFill="1" applyBorder="1" applyAlignment="1" applyProtection="1">
      <alignment horizontal="center" vertical="center" wrapText="1"/>
      <protection hidden="1"/>
    </xf>
    <xf numFmtId="164" fontId="36" fillId="2" borderId="331" xfId="6" applyNumberFormat="1" applyFont="1" applyFill="1" applyBorder="1" applyAlignment="1" applyProtection="1">
      <alignment horizontal="center" vertical="center" wrapText="1"/>
      <protection hidden="1"/>
    </xf>
    <xf numFmtId="164" fontId="36" fillId="2" borderId="332" xfId="6" applyNumberFormat="1" applyFont="1" applyFill="1" applyBorder="1" applyAlignment="1" applyProtection="1">
      <alignment horizontal="center" vertical="center" wrapText="1"/>
      <protection hidden="1"/>
    </xf>
    <xf numFmtId="164" fontId="40" fillId="2" borderId="331" xfId="6" applyNumberFormat="1" applyFont="1" applyFill="1" applyBorder="1" applyAlignment="1" applyProtection="1">
      <alignment horizontal="center" vertical="center" wrapText="1"/>
      <protection hidden="1"/>
    </xf>
    <xf numFmtId="164" fontId="40" fillId="2" borderId="332" xfId="6" applyNumberFormat="1" applyFont="1" applyFill="1" applyBorder="1" applyAlignment="1" applyProtection="1">
      <alignment horizontal="center" vertical="center" wrapText="1"/>
      <protection hidden="1"/>
    </xf>
    <xf numFmtId="0" fontId="47" fillId="3" borderId="0" xfId="2" applyFont="1" applyFill="1" applyBorder="1" applyAlignment="1" applyProtection="1">
      <alignment horizontal="center" vertical="center"/>
      <protection hidden="1"/>
    </xf>
    <xf numFmtId="164" fontId="5" fillId="3" borderId="335" xfId="6" applyNumberFormat="1" applyFont="1" applyFill="1" applyBorder="1" applyAlignment="1" applyProtection="1">
      <alignment horizontal="center"/>
      <protection hidden="1"/>
    </xf>
    <xf numFmtId="164" fontId="5" fillId="3" borderId="333" xfId="6" applyNumberFormat="1" applyFont="1" applyFill="1" applyBorder="1" applyAlignment="1" applyProtection="1">
      <alignment horizontal="center"/>
      <protection hidden="1"/>
    </xf>
    <xf numFmtId="164" fontId="5" fillId="3" borderId="334" xfId="6" applyNumberFormat="1" applyFont="1" applyFill="1" applyBorder="1" applyAlignment="1" applyProtection="1">
      <alignment horizontal="center"/>
      <protection hidden="1"/>
    </xf>
    <xf numFmtId="0" fontId="47" fillId="3" borderId="0" xfId="2" applyFont="1" applyFill="1" applyBorder="1" applyAlignment="1" applyProtection="1">
      <alignment horizontal="center"/>
      <protection hidden="1"/>
    </xf>
    <xf numFmtId="0" fontId="26" fillId="4" borderId="595" xfId="2" applyFont="1" applyFill="1" applyBorder="1" applyAlignment="1" applyProtection="1">
      <alignment horizontal="left" vertical="center"/>
      <protection hidden="1"/>
    </xf>
    <xf numFmtId="0" fontId="26" fillId="4" borderId="342" xfId="2" applyFont="1" applyFill="1" applyBorder="1" applyAlignment="1" applyProtection="1">
      <alignment horizontal="left" vertical="center"/>
      <protection hidden="1"/>
    </xf>
    <xf numFmtId="0" fontId="26" fillId="4" borderId="399" xfId="2" applyFont="1" applyFill="1" applyBorder="1" applyAlignment="1" applyProtection="1">
      <alignment horizontal="left" vertical="center"/>
      <protection hidden="1"/>
    </xf>
    <xf numFmtId="0" fontId="35" fillId="4" borderId="595" xfId="2" applyFont="1" applyFill="1" applyBorder="1" applyAlignment="1" applyProtection="1">
      <alignment horizontal="center"/>
      <protection hidden="1"/>
    </xf>
    <xf numFmtId="0" fontId="35" fillId="4" borderId="342" xfId="2" applyFont="1" applyFill="1" applyBorder="1" applyAlignment="1" applyProtection="1">
      <alignment horizontal="center"/>
      <protection hidden="1"/>
    </xf>
    <xf numFmtId="0" fontId="62" fillId="4" borderId="595" xfId="2" applyFont="1" applyFill="1" applyBorder="1" applyAlignment="1" applyProtection="1">
      <alignment horizontal="center"/>
      <protection hidden="1"/>
    </xf>
    <xf numFmtId="0" fontId="62" fillId="4" borderId="399" xfId="2" applyFont="1" applyFill="1" applyBorder="1" applyAlignment="1" applyProtection="1">
      <alignment horizontal="center"/>
      <protection hidden="1"/>
    </xf>
    <xf numFmtId="0" fontId="41" fillId="4" borderId="342" xfId="2" applyFont="1" applyFill="1" applyBorder="1" applyAlignment="1" applyProtection="1">
      <alignment horizontal="center"/>
      <protection hidden="1"/>
    </xf>
    <xf numFmtId="0" fontId="41" fillId="4" borderId="399" xfId="2" applyFont="1" applyFill="1" applyBorder="1" applyAlignment="1" applyProtection="1">
      <alignment horizontal="center"/>
      <protection hidden="1"/>
    </xf>
    <xf numFmtId="0" fontId="15" fillId="0" borderId="578" xfId="3" applyFont="1" applyBorder="1" applyAlignment="1" applyProtection="1">
      <alignment horizontal="center" vertical="top"/>
      <protection hidden="1"/>
    </xf>
    <xf numFmtId="0" fontId="12" fillId="0" borderId="578" xfId="3" applyFont="1" applyBorder="1" applyAlignment="1" applyProtection="1">
      <alignment horizontal="center" vertical="top"/>
      <protection hidden="1"/>
    </xf>
    <xf numFmtId="164" fontId="34" fillId="2" borderId="337" xfId="6" applyNumberFormat="1" applyFont="1" applyFill="1" applyBorder="1" applyAlignment="1" applyProtection="1">
      <alignment horizontal="center" vertical="top" wrapText="1"/>
      <protection hidden="1"/>
    </xf>
    <xf numFmtId="164" fontId="34" fillId="2" borderId="290" xfId="6" applyNumberFormat="1" applyFont="1" applyFill="1" applyBorder="1" applyAlignment="1" applyProtection="1">
      <alignment horizontal="center" vertical="top" wrapText="1"/>
      <protection hidden="1"/>
    </xf>
    <xf numFmtId="164" fontId="36" fillId="2" borderId="337" xfId="6" applyNumberFormat="1" applyFont="1" applyFill="1" applyBorder="1" applyAlignment="1" applyProtection="1">
      <alignment horizontal="center" vertical="top" wrapText="1"/>
      <protection hidden="1"/>
    </xf>
    <xf numFmtId="164" fontId="36" fillId="2" borderId="290" xfId="6" applyNumberFormat="1" applyFont="1" applyFill="1" applyBorder="1" applyAlignment="1" applyProtection="1">
      <alignment horizontal="center" vertical="top" wrapText="1"/>
      <protection hidden="1"/>
    </xf>
    <xf numFmtId="164" fontId="40" fillId="2" borderId="337" xfId="6" applyNumberFormat="1" applyFont="1" applyFill="1" applyBorder="1" applyAlignment="1" applyProtection="1">
      <alignment horizontal="center" vertical="top" wrapText="1"/>
      <protection hidden="1"/>
    </xf>
    <xf numFmtId="164" fontId="40" fillId="2" borderId="290" xfId="6" applyNumberFormat="1" applyFont="1" applyFill="1" applyBorder="1" applyAlignment="1" applyProtection="1">
      <alignment horizontal="center" vertical="top" wrapText="1"/>
      <protection hidden="1"/>
    </xf>
    <xf numFmtId="0" fontId="32" fillId="4" borderId="0" xfId="2" applyFont="1" applyFill="1" applyBorder="1" applyAlignment="1" applyProtection="1">
      <alignment horizontal="left"/>
      <protection hidden="1"/>
    </xf>
    <xf numFmtId="0" fontId="179" fillId="2" borderId="0" xfId="288" applyFont="1" applyFill="1" applyBorder="1" applyAlignment="1" applyProtection="1">
      <alignment horizontal="left"/>
      <protection hidden="1"/>
    </xf>
    <xf numFmtId="0" fontId="32" fillId="2" borderId="0" xfId="2" applyFont="1" applyFill="1" applyBorder="1" applyAlignment="1" applyProtection="1">
      <alignment horizontal="left"/>
      <protection hidden="1"/>
    </xf>
    <xf numFmtId="0" fontId="1" fillId="3" borderId="595" xfId="6" applyFont="1" applyFill="1" applyBorder="1" applyAlignment="1" applyProtection="1">
      <alignment horizontal="left" vertical="top"/>
      <protection locked="0"/>
    </xf>
    <xf numFmtId="0" fontId="1" fillId="3" borderId="342" xfId="6" applyFont="1" applyFill="1" applyBorder="1" applyAlignment="1" applyProtection="1">
      <alignment horizontal="left" vertical="top"/>
      <protection locked="0"/>
    </xf>
    <xf numFmtId="0" fontId="1" fillId="3" borderId="399" xfId="6" applyFont="1" applyFill="1" applyBorder="1" applyAlignment="1" applyProtection="1">
      <alignment horizontal="left" vertical="top"/>
      <protection locked="0"/>
    </xf>
    <xf numFmtId="0" fontId="1" fillId="3" borderId="302" xfId="6" applyFont="1" applyFill="1" applyBorder="1" applyAlignment="1" applyProtection="1">
      <alignment horizontal="left" vertical="top"/>
      <protection locked="0"/>
    </xf>
    <xf numFmtId="0" fontId="1" fillId="3" borderId="0" xfId="6" applyFont="1" applyFill="1" applyBorder="1" applyAlignment="1" applyProtection="1">
      <alignment horizontal="left" vertical="top"/>
      <protection locked="0"/>
    </xf>
    <xf numFmtId="0" fontId="1" fillId="3" borderId="301" xfId="6" applyFont="1" applyFill="1" applyBorder="1" applyAlignment="1" applyProtection="1">
      <alignment horizontal="left" vertical="top"/>
      <protection locked="0"/>
    </xf>
    <xf numFmtId="0" fontId="1" fillId="3" borderId="516" xfId="6" applyFont="1" applyFill="1" applyBorder="1" applyAlignment="1" applyProtection="1">
      <alignment horizontal="left" vertical="top"/>
      <protection locked="0"/>
    </xf>
    <xf numFmtId="0" fontId="1" fillId="3" borderId="734" xfId="6" applyFont="1" applyFill="1" applyBorder="1" applyAlignment="1" applyProtection="1">
      <alignment horizontal="left" vertical="top"/>
      <protection locked="0"/>
    </xf>
    <xf numFmtId="0" fontId="1" fillId="3" borderId="592" xfId="6" applyFont="1" applyFill="1" applyBorder="1" applyAlignment="1" applyProtection="1">
      <alignment horizontal="left" vertical="top"/>
      <protection locked="0"/>
    </xf>
    <xf numFmtId="0" fontId="280" fillId="3" borderId="0" xfId="6" applyFont="1" applyFill="1" applyAlignment="1" applyProtection="1">
      <alignment horizontal="center"/>
      <protection hidden="1"/>
    </xf>
    <xf numFmtId="0" fontId="107" fillId="4" borderId="0" xfId="6" applyFont="1" applyFill="1" applyAlignment="1" applyProtection="1">
      <alignment horizontal="left"/>
      <protection hidden="1"/>
    </xf>
    <xf numFmtId="0" fontId="61" fillId="2" borderId="0" xfId="2" applyFont="1" applyFill="1" applyAlignment="1" applyProtection="1">
      <alignment horizontal="left"/>
      <protection hidden="1"/>
    </xf>
    <xf numFmtId="0" fontId="10" fillId="4" borderId="595" xfId="6" applyFont="1" applyFill="1" applyBorder="1" applyAlignment="1" applyProtection="1">
      <alignment horizontal="left" vertical="top" wrapText="1"/>
      <protection locked="0"/>
    </xf>
    <xf numFmtId="0" fontId="10" fillId="4" borderId="342" xfId="6" applyFont="1" applyFill="1" applyBorder="1" applyAlignment="1" applyProtection="1">
      <alignment horizontal="left" vertical="top" wrapText="1"/>
      <protection locked="0"/>
    </xf>
    <xf numFmtId="0" fontId="10" fillId="4" borderId="526" xfId="6" applyFont="1" applyFill="1" applyBorder="1" applyAlignment="1" applyProtection="1">
      <alignment horizontal="left" vertical="top" wrapText="1"/>
      <protection locked="0"/>
    </xf>
    <xf numFmtId="0" fontId="10" fillId="4" borderId="641" xfId="6" applyFont="1" applyFill="1" applyBorder="1" applyAlignment="1" applyProtection="1">
      <alignment horizontal="left" vertical="top" wrapText="1"/>
      <protection locked="0"/>
    </xf>
    <xf numFmtId="0" fontId="10" fillId="4" borderId="0" xfId="6" applyFont="1" applyFill="1" applyBorder="1" applyAlignment="1" applyProtection="1">
      <alignment horizontal="left" vertical="top" wrapText="1"/>
      <protection locked="0"/>
    </xf>
    <xf numFmtId="0" fontId="10" fillId="4" borderId="301" xfId="6" applyFont="1" applyFill="1" applyBorder="1" applyAlignment="1" applyProtection="1">
      <alignment horizontal="left" vertical="top" wrapText="1"/>
      <protection locked="0"/>
    </xf>
    <xf numFmtId="0" fontId="10" fillId="4" borderId="494" xfId="6" applyFont="1" applyFill="1" applyBorder="1" applyAlignment="1" applyProtection="1">
      <alignment horizontal="left" vertical="top" wrapText="1"/>
      <protection locked="0"/>
    </xf>
    <xf numFmtId="0" fontId="10" fillId="4" borderId="515" xfId="6" applyFont="1" applyFill="1" applyBorder="1" applyAlignment="1" applyProtection="1">
      <alignment horizontal="left" vertical="top" wrapText="1"/>
      <protection locked="0"/>
    </xf>
    <xf numFmtId="0" fontId="10" fillId="4" borderId="495" xfId="6" applyFont="1" applyFill="1" applyBorder="1" applyAlignment="1" applyProtection="1">
      <alignment horizontal="left" vertical="top" wrapText="1"/>
      <protection locked="0"/>
    </xf>
    <xf numFmtId="0" fontId="44" fillId="0" borderId="595" xfId="2" applyFont="1" applyFill="1" applyBorder="1" applyAlignment="1" applyProtection="1">
      <alignment horizontal="left"/>
      <protection hidden="1"/>
    </xf>
    <xf numFmtId="0" fontId="44" fillId="0" borderId="342" xfId="2" applyFont="1" applyFill="1" applyBorder="1" applyAlignment="1" applyProtection="1">
      <alignment horizontal="left"/>
      <protection hidden="1"/>
    </xf>
    <xf numFmtId="0" fontId="44" fillId="0" borderId="399" xfId="2" applyFont="1" applyFill="1" applyBorder="1" applyAlignment="1" applyProtection="1">
      <alignment horizontal="left"/>
      <protection hidden="1"/>
    </xf>
    <xf numFmtId="0" fontId="32" fillId="0" borderId="302" xfId="2" applyFont="1" applyFill="1" applyBorder="1" applyAlignment="1" applyProtection="1">
      <alignment horizontal="left"/>
      <protection hidden="1"/>
    </xf>
    <xf numFmtId="0" fontId="32" fillId="0" borderId="0" xfId="2" applyFont="1" applyFill="1" applyBorder="1" applyAlignment="1" applyProtection="1">
      <alignment horizontal="left"/>
      <protection hidden="1"/>
    </xf>
    <xf numFmtId="0" fontId="32" fillId="0" borderId="301" xfId="2" applyFont="1" applyFill="1" applyBorder="1" applyAlignment="1" applyProtection="1">
      <alignment horizontal="left"/>
      <protection hidden="1"/>
    </xf>
    <xf numFmtId="0" fontId="44" fillId="0" borderId="494" xfId="2" applyFont="1" applyFill="1" applyBorder="1" applyAlignment="1" applyProtection="1">
      <alignment horizontal="left"/>
      <protection hidden="1"/>
    </xf>
    <xf numFmtId="0" fontId="44" fillId="0" borderId="602" xfId="2" applyFont="1" applyFill="1" applyBorder="1" applyAlignment="1" applyProtection="1">
      <alignment horizontal="left"/>
      <protection hidden="1"/>
    </xf>
    <xf numFmtId="0" fontId="44" fillId="0" borderId="592" xfId="2" applyFont="1" applyFill="1" applyBorder="1" applyAlignment="1" applyProtection="1">
      <alignment horizontal="left"/>
      <protection hidden="1"/>
    </xf>
    <xf numFmtId="0" fontId="107" fillId="3" borderId="0" xfId="2" applyFont="1" applyFill="1" applyAlignment="1" applyProtection="1">
      <alignment horizontal="right"/>
      <protection hidden="1"/>
    </xf>
    <xf numFmtId="0" fontId="45" fillId="3" borderId="0" xfId="3" applyFont="1" applyFill="1" applyAlignment="1" applyProtection="1">
      <protection hidden="1"/>
    </xf>
    <xf numFmtId="0" fontId="45" fillId="2" borderId="0" xfId="3" applyFont="1" applyFill="1" applyAlignment="1" applyProtection="1">
      <protection hidden="1"/>
    </xf>
    <xf numFmtId="0" fontId="107" fillId="3" borderId="0" xfId="413" applyFont="1" applyFill="1" applyAlignment="1" applyProtection="1">
      <alignment horizontal="center"/>
      <protection hidden="1"/>
    </xf>
    <xf numFmtId="0" fontId="5" fillId="7" borderId="302" xfId="198" applyFont="1" applyFill="1" applyBorder="1" applyAlignment="1" applyProtection="1">
      <alignment horizontal="center" vertical="center" textRotation="90"/>
      <protection hidden="1"/>
    </xf>
    <xf numFmtId="0" fontId="5" fillId="27" borderId="302" xfId="198" applyFont="1" applyFill="1" applyBorder="1" applyAlignment="1" applyProtection="1">
      <alignment horizontal="center" vertical="center" textRotation="90"/>
      <protection hidden="1"/>
    </xf>
    <xf numFmtId="0" fontId="56" fillId="0" borderId="0" xfId="2" applyFont="1" applyBorder="1" applyAlignment="1" applyProtection="1">
      <alignment horizontal="left"/>
      <protection hidden="1"/>
    </xf>
    <xf numFmtId="0" fontId="139" fillId="0" borderId="302" xfId="283" applyFont="1" applyFill="1" applyBorder="1" applyAlignment="1" applyProtection="1">
      <alignment horizontal="left" wrapText="1"/>
      <protection hidden="1"/>
    </xf>
    <xf numFmtId="0" fontId="139" fillId="0" borderId="301" xfId="283" applyFont="1" applyFill="1" applyBorder="1" applyAlignment="1" applyProtection="1">
      <alignment horizontal="left" wrapText="1"/>
      <protection hidden="1"/>
    </xf>
    <xf numFmtId="0" fontId="47" fillId="27" borderId="123" xfId="198" applyFont="1" applyFill="1" applyBorder="1" applyAlignment="1" applyProtection="1">
      <alignment horizontal="center" vertical="center" textRotation="90"/>
      <protection hidden="1"/>
    </xf>
    <xf numFmtId="0" fontId="47" fillId="11" borderId="123" xfId="198" applyFont="1" applyFill="1" applyBorder="1" applyAlignment="1">
      <alignment horizontal="left" vertical="center" textRotation="90"/>
    </xf>
    <xf numFmtId="0" fontId="47" fillId="17" borderId="123" xfId="2" applyFont="1" applyFill="1" applyBorder="1" applyAlignment="1">
      <alignment horizontal="left" vertical="center" textRotation="90"/>
    </xf>
    <xf numFmtId="0" fontId="8" fillId="7" borderId="123" xfId="198" applyFont="1" applyFill="1" applyBorder="1" applyAlignment="1">
      <alignment horizontal="left" vertical="center" textRotation="90"/>
    </xf>
    <xf numFmtId="0" fontId="21" fillId="3" borderId="0" xfId="198" applyFont="1" applyFill="1" applyAlignment="1"/>
    <xf numFmtId="0" fontId="44" fillId="0" borderId="0" xfId="2" applyFont="1" applyBorder="1" applyAlignment="1" applyProtection="1">
      <alignment horizontal="left"/>
      <protection hidden="1"/>
    </xf>
    <xf numFmtId="0" fontId="138" fillId="0" borderId="0" xfId="198" applyFont="1" applyBorder="1" applyAlignment="1" applyProtection="1">
      <alignment horizontal="left"/>
      <protection hidden="1"/>
    </xf>
    <xf numFmtId="0" fontId="5" fillId="11" borderId="302" xfId="198" applyFont="1" applyFill="1" applyBorder="1" applyAlignment="1" applyProtection="1">
      <alignment horizontal="center" vertical="center" textRotation="90"/>
      <protection hidden="1"/>
    </xf>
    <xf numFmtId="0" fontId="5" fillId="17" borderId="302" xfId="198" applyFont="1" applyFill="1" applyBorder="1" applyAlignment="1" applyProtection="1">
      <alignment horizontal="center" vertical="center" textRotation="90"/>
      <protection hidden="1"/>
    </xf>
    <xf numFmtId="0" fontId="34" fillId="0" borderId="0" xfId="283" applyFont="1" applyBorder="1" applyAlignment="1" applyProtection="1">
      <alignment horizontal="left"/>
      <protection hidden="1"/>
    </xf>
    <xf numFmtId="0" fontId="9" fillId="0" borderId="0" xfId="2" applyFont="1" applyBorder="1" applyAlignment="1">
      <alignment horizontal="left"/>
    </xf>
    <xf numFmtId="0" fontId="9" fillId="0" borderId="301" xfId="2" applyFont="1" applyBorder="1" applyAlignment="1">
      <alignment horizontal="left"/>
    </xf>
    <xf numFmtId="0" fontId="139" fillId="0" borderId="595" xfId="283" applyFont="1" applyFill="1" applyBorder="1" applyAlignment="1" applyProtection="1">
      <alignment horizontal="left" wrapText="1"/>
      <protection hidden="1"/>
    </xf>
    <xf numFmtId="0" fontId="139" fillId="0" borderId="399" xfId="283" applyFont="1" applyFill="1" applyBorder="1" applyAlignment="1" applyProtection="1">
      <alignment horizontal="left" wrapText="1"/>
      <protection hidden="1"/>
    </xf>
    <xf numFmtId="0" fontId="139" fillId="0" borderId="302" xfId="283" applyFont="1" applyFill="1" applyBorder="1" applyAlignment="1" applyProtection="1">
      <alignment horizontal="left"/>
      <protection hidden="1"/>
    </xf>
    <xf numFmtId="0" fontId="139" fillId="0" borderId="301" xfId="283" applyFont="1" applyFill="1" applyBorder="1" applyAlignment="1" applyProtection="1">
      <alignment horizontal="left"/>
      <protection hidden="1"/>
    </xf>
    <xf numFmtId="0" fontId="139" fillId="0" borderId="494" xfId="283" applyFont="1" applyFill="1" applyBorder="1" applyAlignment="1" applyProtection="1">
      <alignment horizontal="left" wrapText="1"/>
      <protection hidden="1"/>
    </xf>
    <xf numFmtId="0" fontId="139" fillId="0" borderId="592" xfId="283" applyFont="1" applyFill="1" applyBorder="1" applyAlignment="1" applyProtection="1">
      <alignment horizontal="left" wrapText="1"/>
      <protection hidden="1"/>
    </xf>
    <xf numFmtId="0" fontId="297" fillId="0" borderId="0" xfId="283" applyFont="1" applyFill="1" applyBorder="1" applyAlignment="1" applyProtection="1">
      <alignment horizontal="left"/>
      <protection hidden="1"/>
    </xf>
    <xf numFmtId="0" fontId="299" fillId="0" borderId="0" xfId="283" applyFont="1" applyFill="1" applyBorder="1" applyAlignment="1" applyProtection="1">
      <alignment horizontal="left"/>
      <protection hidden="1"/>
    </xf>
    <xf numFmtId="0" fontId="297" fillId="0" borderId="0" xfId="283" applyFont="1" applyBorder="1" applyAlignment="1" applyProtection="1">
      <alignment horizontal="left"/>
      <protection hidden="1"/>
    </xf>
    <xf numFmtId="0" fontId="299" fillId="0" borderId="0" xfId="283" applyFont="1" applyBorder="1" applyAlignment="1" applyProtection="1">
      <alignment horizontal="left"/>
      <protection hidden="1"/>
    </xf>
    <xf numFmtId="0" fontId="11" fillId="3" borderId="0" xfId="198" applyFont="1" applyFill="1" applyAlignment="1" applyProtection="1">
      <protection hidden="1"/>
    </xf>
    <xf numFmtId="0" fontId="6" fillId="0" borderId="0" xfId="198" applyFont="1" applyAlignment="1">
      <alignment horizontal="center"/>
    </xf>
    <xf numFmtId="0" fontId="90" fillId="3" borderId="0" xfId="198" applyFont="1" applyFill="1" applyAlignment="1" applyProtection="1">
      <alignment horizontal="right"/>
      <protection hidden="1"/>
    </xf>
    <xf numFmtId="0" fontId="134" fillId="0" borderId="641" xfId="2" applyFont="1" applyBorder="1" applyAlignment="1" applyProtection="1">
      <protection hidden="1"/>
    </xf>
    <xf numFmtId="0" fontId="5" fillId="0" borderId="0" xfId="198" applyFont="1" applyBorder="1" applyAlignment="1" applyProtection="1">
      <alignment horizontal="left" vertical="top" wrapText="1"/>
      <protection hidden="1"/>
    </xf>
    <xf numFmtId="0" fontId="8" fillId="0" borderId="0" xfId="198" applyFont="1" applyBorder="1" applyAlignment="1" applyProtection="1">
      <alignment horizontal="center" vertical="top" wrapText="1"/>
      <protection hidden="1"/>
    </xf>
    <xf numFmtId="0" fontId="8" fillId="0" borderId="0" xfId="198" applyFont="1" applyBorder="1" applyAlignment="1">
      <alignment horizontal="center" vertical="top" wrapText="1"/>
    </xf>
    <xf numFmtId="0" fontId="135" fillId="0" borderId="301" xfId="198" applyFont="1" applyBorder="1" applyAlignment="1">
      <alignment horizontal="center" vertical="top" wrapText="1"/>
    </xf>
    <xf numFmtId="0" fontId="5" fillId="0" borderId="0" xfId="2" applyAlignment="1" applyProtection="1">
      <protection hidden="1"/>
    </xf>
    <xf numFmtId="0" fontId="133" fillId="0" borderId="0" xfId="2" applyFont="1" applyBorder="1" applyAlignment="1" applyProtection="1">
      <protection hidden="1"/>
    </xf>
    <xf numFmtId="0" fontId="5" fillId="0" borderId="124" xfId="2" applyBorder="1" applyAlignment="1">
      <alignment horizontal="left"/>
    </xf>
    <xf numFmtId="0" fontId="13" fillId="0" borderId="21" xfId="3" applyFont="1" applyBorder="1" applyAlignment="1" applyProtection="1">
      <protection hidden="1"/>
    </xf>
    <xf numFmtId="0" fontId="132" fillId="0" borderId="123" xfId="2" applyFont="1" applyBorder="1" applyAlignment="1" applyProtection="1">
      <protection hidden="1"/>
    </xf>
    <xf numFmtId="0" fontId="1" fillId="0" borderId="595" xfId="198" applyFont="1" applyBorder="1" applyAlignment="1" applyProtection="1">
      <alignment horizontal="left" vertical="center" wrapText="1"/>
      <protection hidden="1"/>
    </xf>
    <xf numFmtId="0" fontId="1" fillId="0" borderId="342" xfId="198" applyFont="1" applyBorder="1" applyAlignment="1" applyProtection="1">
      <alignment horizontal="left" vertical="center" wrapText="1"/>
      <protection hidden="1"/>
    </xf>
    <xf numFmtId="0" fontId="1" fillId="0" borderId="526" xfId="198" applyFont="1" applyBorder="1" applyAlignment="1" applyProtection="1">
      <alignment horizontal="left" vertical="center" wrapText="1"/>
      <protection hidden="1"/>
    </xf>
    <xf numFmtId="0" fontId="1" fillId="0" borderId="641" xfId="198" applyFont="1" applyBorder="1" applyAlignment="1" applyProtection="1">
      <alignment horizontal="left" vertical="center" wrapText="1"/>
      <protection hidden="1"/>
    </xf>
    <xf numFmtId="0" fontId="1" fillId="0" borderId="0" xfId="198" applyFont="1" applyBorder="1" applyAlignment="1" applyProtection="1">
      <alignment horizontal="left" vertical="center" wrapText="1"/>
      <protection hidden="1"/>
    </xf>
    <xf numFmtId="0" fontId="1" fillId="0" borderId="301" xfId="198" applyFont="1" applyBorder="1" applyAlignment="1" applyProtection="1">
      <alignment horizontal="left" vertical="center" wrapText="1"/>
      <protection hidden="1"/>
    </xf>
    <xf numFmtId="0" fontId="1" fillId="0" borderId="494" xfId="198" applyFont="1" applyBorder="1" applyAlignment="1" applyProtection="1">
      <alignment horizontal="left" vertical="center" wrapText="1"/>
      <protection hidden="1"/>
    </xf>
    <xf numFmtId="0" fontId="1" fillId="0" borderId="515" xfId="198" applyFont="1" applyBorder="1" applyAlignment="1" applyProtection="1">
      <alignment horizontal="left" vertical="center" wrapText="1"/>
      <protection hidden="1"/>
    </xf>
    <xf numFmtId="0" fontId="1" fillId="0" borderId="495" xfId="198" applyFont="1" applyBorder="1" applyAlignment="1" applyProtection="1">
      <alignment horizontal="left" vertical="center" wrapText="1"/>
      <protection hidden="1"/>
    </xf>
    <xf numFmtId="0" fontId="4" fillId="3" borderId="17" xfId="7" applyFont="1" applyFill="1" applyBorder="1" applyAlignment="1">
      <alignment horizontal="center" vertical="center"/>
    </xf>
    <xf numFmtId="0" fontId="124" fillId="3" borderId="17" xfId="198" applyFont="1" applyFill="1" applyBorder="1" applyAlignment="1" applyProtection="1">
      <alignment horizontal="right"/>
      <protection hidden="1"/>
    </xf>
    <xf numFmtId="0" fontId="13" fillId="3" borderId="17" xfId="3" applyFont="1" applyFill="1" applyBorder="1" applyAlignment="1" applyProtection="1">
      <alignment horizontal="right"/>
      <protection hidden="1"/>
    </xf>
    <xf numFmtId="169" fontId="126" fillId="3" borderId="117" xfId="2" applyNumberFormat="1" applyFont="1" applyFill="1" applyBorder="1" applyAlignment="1">
      <alignment horizontal="center" vertical="center" wrapText="1"/>
    </xf>
    <xf numFmtId="0" fontId="5" fillId="0" borderId="124" xfId="2" applyBorder="1" applyAlignment="1">
      <alignment horizontal="center"/>
    </xf>
    <xf numFmtId="0" fontId="132" fillId="0" borderId="656" xfId="2" applyFont="1" applyBorder="1" applyAlignment="1" applyProtection="1">
      <protection hidden="1"/>
    </xf>
    <xf numFmtId="0" fontId="5" fillId="3" borderId="124" xfId="198" applyFont="1" applyFill="1" applyBorder="1" applyAlignment="1" applyProtection="1">
      <alignment horizontal="center" vertical="top" wrapText="1"/>
      <protection hidden="1"/>
    </xf>
    <xf numFmtId="0" fontId="5" fillId="0" borderId="0" xfId="2" applyAlignment="1" applyProtection="1">
      <alignment horizontal="right"/>
      <protection hidden="1"/>
    </xf>
    <xf numFmtId="0" fontId="94" fillId="0" borderId="0" xfId="2" applyFont="1" applyAlignment="1" applyProtection="1">
      <alignment horizontal="center" vertical="center" wrapText="1"/>
      <protection hidden="1"/>
    </xf>
    <xf numFmtId="0" fontId="94" fillId="0" borderId="301" xfId="2" applyFont="1" applyBorder="1" applyAlignment="1" applyProtection="1">
      <alignment horizontal="center" vertical="center" wrapText="1"/>
      <protection hidden="1"/>
    </xf>
    <xf numFmtId="0" fontId="45" fillId="0" borderId="21" xfId="3" applyFont="1" applyBorder="1" applyAlignment="1" applyProtection="1">
      <protection hidden="1"/>
    </xf>
    <xf numFmtId="1" fontId="125" fillId="3" borderId="127" xfId="2" applyNumberFormat="1" applyFont="1" applyFill="1" applyBorder="1" applyAlignment="1">
      <alignment horizontal="center" vertical="center" wrapText="1"/>
    </xf>
    <xf numFmtId="1" fontId="128" fillId="3" borderId="127" xfId="2" applyNumberFormat="1" applyFont="1" applyFill="1" applyBorder="1" applyAlignment="1">
      <alignment horizontal="center" vertical="center" wrapText="1"/>
    </xf>
    <xf numFmtId="0" fontId="129" fillId="43" borderId="119" xfId="198" applyFont="1" applyFill="1" applyBorder="1" applyAlignment="1"/>
    <xf numFmtId="0" fontId="130" fillId="0" borderId="119" xfId="2" applyFont="1" applyBorder="1" applyAlignment="1" applyProtection="1">
      <protection hidden="1"/>
    </xf>
    <xf numFmtId="0" fontId="129" fillId="44" borderId="117" xfId="198" applyFont="1" applyFill="1" applyBorder="1" applyAlignment="1"/>
    <xf numFmtId="169" fontId="106" fillId="3" borderId="0" xfId="2" applyNumberFormat="1" applyFont="1" applyFill="1" applyAlignment="1">
      <alignment horizontal="center" vertical="center" wrapText="1"/>
    </xf>
    <xf numFmtId="1" fontId="5" fillId="3" borderId="15" xfId="2" applyNumberFormat="1" applyFill="1" applyBorder="1" applyAlignment="1">
      <alignment horizontal="center" vertical="center" wrapText="1"/>
    </xf>
    <xf numFmtId="1" fontId="42" fillId="3" borderId="15" xfId="2" applyNumberFormat="1" applyFont="1" applyFill="1" applyBorder="1" applyAlignment="1">
      <alignment horizontal="center" vertical="center" wrapText="1"/>
    </xf>
    <xf numFmtId="0" fontId="8" fillId="0" borderId="15" xfId="2" applyFont="1" applyBorder="1" applyAlignment="1" applyProtection="1">
      <alignment vertical="center" wrapText="1"/>
      <protection hidden="1"/>
    </xf>
    <xf numFmtId="1" fontId="5" fillId="3" borderId="81" xfId="2" applyNumberFormat="1" applyFill="1" applyBorder="1" applyAlignment="1">
      <alignment horizontal="center" vertical="center" wrapText="1"/>
    </xf>
    <xf numFmtId="1" fontId="42" fillId="3" borderId="81" xfId="2" applyNumberFormat="1" applyFont="1" applyFill="1" applyBorder="1" applyAlignment="1">
      <alignment horizontal="center" vertical="center" wrapText="1"/>
    </xf>
    <xf numFmtId="0" fontId="1" fillId="0" borderId="302" xfId="2" applyFont="1" applyBorder="1" applyAlignment="1" applyProtection="1">
      <protection hidden="1"/>
    </xf>
    <xf numFmtId="0" fontId="5" fillId="7" borderId="302" xfId="198" applyFont="1" applyFill="1" applyBorder="1" applyAlignment="1">
      <alignment horizontal="center" vertical="center" textRotation="90"/>
    </xf>
    <xf numFmtId="1" fontId="44" fillId="0" borderId="0" xfId="2" applyNumberFormat="1" applyFont="1" applyFill="1" applyBorder="1" applyAlignment="1" applyProtection="1">
      <alignment horizontal="left" vertical="top" wrapText="1"/>
      <protection hidden="1"/>
    </xf>
    <xf numFmtId="0" fontId="5" fillId="0" borderId="15" xfId="198" applyFont="1" applyBorder="1" applyAlignment="1" applyProtection="1">
      <alignment vertical="top" wrapText="1"/>
      <protection hidden="1"/>
    </xf>
    <xf numFmtId="0" fontId="1" fillId="0" borderId="123" xfId="2" applyFont="1" applyBorder="1" applyAlignment="1" applyProtection="1">
      <alignment vertical="top" wrapText="1"/>
      <protection hidden="1"/>
    </xf>
    <xf numFmtId="0" fontId="1" fillId="0" borderId="0" xfId="2" applyFont="1" applyAlignment="1" applyProtection="1">
      <alignment vertical="top" wrapText="1"/>
      <protection hidden="1"/>
    </xf>
    <xf numFmtId="0" fontId="1" fillId="0" borderId="123" xfId="198" applyFont="1" applyBorder="1" applyAlignment="1" applyProtection="1">
      <protection hidden="1"/>
    </xf>
    <xf numFmtId="0" fontId="77" fillId="0" borderId="630" xfId="283" applyFont="1" applyFill="1" applyBorder="1" applyAlignment="1" applyProtection="1">
      <alignment horizontal="left" wrapText="1"/>
      <protection hidden="1"/>
    </xf>
    <xf numFmtId="0" fontId="77" fillId="0" borderId="632" xfId="283" applyFont="1" applyFill="1" applyBorder="1" applyAlignment="1" applyProtection="1">
      <alignment horizontal="left" wrapText="1"/>
      <protection hidden="1"/>
    </xf>
    <xf numFmtId="0" fontId="8" fillId="0" borderId="0" xfId="198" applyFont="1" applyAlignment="1" applyProtection="1">
      <alignment horizontal="center" vertical="top" wrapText="1"/>
      <protection hidden="1"/>
    </xf>
    <xf numFmtId="0" fontId="135" fillId="0" borderId="21" xfId="198" applyFont="1" applyBorder="1" applyAlignment="1" applyProtection="1">
      <alignment horizontal="center" vertical="top" wrapText="1"/>
      <protection hidden="1"/>
    </xf>
    <xf numFmtId="0" fontId="135" fillId="0" borderId="0" xfId="198" applyFont="1" applyBorder="1" applyAlignment="1" applyProtection="1">
      <alignment horizontal="center" vertical="top" wrapText="1"/>
      <protection hidden="1"/>
    </xf>
    <xf numFmtId="0" fontId="56" fillId="0" borderId="0" xfId="2" applyFont="1" applyBorder="1" applyAlignment="1" applyProtection="1">
      <protection hidden="1"/>
    </xf>
    <xf numFmtId="0" fontId="47" fillId="11" borderId="302" xfId="198" applyFont="1" applyFill="1" applyBorder="1" applyAlignment="1">
      <alignment horizontal="center" vertical="center" textRotation="90" wrapText="1"/>
    </xf>
    <xf numFmtId="0" fontId="47" fillId="7" borderId="302" xfId="2" applyFont="1" applyFill="1" applyBorder="1" applyAlignment="1">
      <alignment horizontal="center" vertical="center" textRotation="90"/>
    </xf>
    <xf numFmtId="0" fontId="113" fillId="0" borderId="123" xfId="2" applyFont="1" applyBorder="1" applyAlignment="1" applyProtection="1">
      <protection hidden="1"/>
    </xf>
    <xf numFmtId="0" fontId="5" fillId="0" borderId="0" xfId="198" applyFont="1" applyAlignment="1" applyProtection="1">
      <alignment horizontal="left" vertical="top" wrapText="1"/>
      <protection hidden="1"/>
    </xf>
    <xf numFmtId="0" fontId="47" fillId="17" borderId="302" xfId="198" applyFont="1" applyFill="1" applyBorder="1" applyAlignment="1">
      <alignment horizontal="center" vertical="center" textRotation="90"/>
    </xf>
    <xf numFmtId="0" fontId="47" fillId="27" borderId="641" xfId="198" applyNumberFormat="1" applyFont="1" applyFill="1" applyBorder="1" applyAlignment="1" applyProtection="1">
      <alignment horizontal="center" vertical="center" textRotation="90" wrapText="1"/>
      <protection hidden="1"/>
    </xf>
    <xf numFmtId="0" fontId="9" fillId="0" borderId="515" xfId="1" applyFont="1" applyBorder="1" applyAlignment="1" applyProtection="1">
      <alignment horizontal="left"/>
      <protection hidden="1"/>
    </xf>
    <xf numFmtId="0" fontId="9" fillId="0" borderId="592" xfId="1" applyFont="1" applyBorder="1" applyAlignment="1" applyProtection="1">
      <alignment horizontal="left"/>
      <protection hidden="1"/>
    </xf>
    <xf numFmtId="0" fontId="119" fillId="3" borderId="0" xfId="2" applyFont="1" applyFill="1" applyAlignment="1" applyProtection="1">
      <alignment horizontal="left" wrapText="1"/>
      <protection hidden="1"/>
    </xf>
    <xf numFmtId="0" fontId="14" fillId="0" borderId="0" xfId="198" applyFont="1" applyFill="1" applyBorder="1" applyAlignment="1" applyProtection="1">
      <alignment horizontal="center" vertical="center" wrapText="1"/>
      <protection hidden="1"/>
    </xf>
    <xf numFmtId="0" fontId="139" fillId="0" borderId="630" xfId="283" applyFont="1" applyFill="1" applyBorder="1" applyAlignment="1" applyProtection="1">
      <alignment horizontal="left" wrapText="1"/>
      <protection hidden="1"/>
    </xf>
    <xf numFmtId="0" fontId="139" fillId="0" borderId="632" xfId="283" applyFont="1" applyFill="1" applyBorder="1" applyAlignment="1" applyProtection="1">
      <alignment horizontal="left" wrapText="1"/>
      <protection hidden="1"/>
    </xf>
    <xf numFmtId="0" fontId="5" fillId="4" borderId="602" xfId="283" applyFont="1" applyFill="1" applyBorder="1" applyAlignment="1" applyProtection="1">
      <alignment horizontal="left"/>
      <protection hidden="1"/>
    </xf>
    <xf numFmtId="0" fontId="5" fillId="4" borderId="592" xfId="283" applyFont="1" applyFill="1" applyBorder="1" applyAlignment="1" applyProtection="1">
      <alignment horizontal="left"/>
      <protection hidden="1"/>
    </xf>
    <xf numFmtId="0" fontId="5" fillId="0" borderId="630" xfId="283" applyFont="1" applyFill="1" applyBorder="1" applyAlignment="1" applyProtection="1">
      <alignment horizontal="right"/>
      <protection hidden="1"/>
    </xf>
    <xf numFmtId="0" fontId="5" fillId="0" borderId="604" xfId="283" applyFont="1" applyFill="1" applyBorder="1" applyAlignment="1" applyProtection="1">
      <alignment horizontal="right"/>
      <protection hidden="1"/>
    </xf>
    <xf numFmtId="0" fontId="5" fillId="0" borderId="0" xfId="283" applyFont="1" applyFill="1" applyBorder="1" applyAlignment="1" applyProtection="1">
      <alignment horizontal="left"/>
      <protection hidden="1"/>
    </xf>
    <xf numFmtId="0" fontId="51" fillId="0" borderId="84" xfId="410" applyFont="1" applyBorder="1" applyAlignment="1" applyProtection="1">
      <alignment horizontal="left"/>
      <protection hidden="1"/>
    </xf>
    <xf numFmtId="0" fontId="51" fillId="0" borderId="301" xfId="410" applyFont="1" applyBorder="1" applyAlignment="1" applyProtection="1">
      <alignment horizontal="left"/>
      <protection hidden="1"/>
    </xf>
    <xf numFmtId="0" fontId="27" fillId="0" borderId="0" xfId="2" applyFont="1" applyAlignment="1" applyProtection="1">
      <alignment horizontal="center"/>
      <protection hidden="1"/>
    </xf>
    <xf numFmtId="0" fontId="44" fillId="14" borderId="0" xfId="410" applyFont="1" applyFill="1" applyAlignment="1" applyProtection="1">
      <alignment horizontal="center"/>
      <protection hidden="1"/>
    </xf>
    <xf numFmtId="0" fontId="2" fillId="3" borderId="0" xfId="410" applyFont="1" applyFill="1" applyAlignment="1" applyProtection="1">
      <alignment horizontal="left"/>
      <protection hidden="1"/>
    </xf>
    <xf numFmtId="0" fontId="5" fillId="3" borderId="641" xfId="2" applyFill="1" applyBorder="1" applyAlignment="1" applyProtection="1">
      <protection hidden="1"/>
    </xf>
    <xf numFmtId="0" fontId="5" fillId="14" borderId="12" xfId="410" applyFont="1" applyFill="1" applyBorder="1" applyAlignment="1" applyProtection="1">
      <protection hidden="1"/>
    </xf>
    <xf numFmtId="0" fontId="5" fillId="14" borderId="13" xfId="410" applyFont="1" applyFill="1" applyBorder="1" applyAlignment="1" applyProtection="1">
      <protection hidden="1"/>
    </xf>
    <xf numFmtId="0" fontId="5" fillId="14" borderId="14" xfId="410" applyFont="1" applyFill="1" applyBorder="1" applyAlignment="1" applyProtection="1">
      <protection hidden="1"/>
    </xf>
    <xf numFmtId="0" fontId="26" fillId="3" borderId="655" xfId="2" applyFont="1" applyFill="1" applyBorder="1" applyAlignment="1" applyProtection="1">
      <alignment horizontal="left"/>
      <protection hidden="1"/>
    </xf>
    <xf numFmtId="0" fontId="21" fillId="0" borderId="495" xfId="410" applyFont="1" applyBorder="1" applyAlignment="1" applyProtection="1">
      <alignment horizontal="center"/>
      <protection hidden="1"/>
    </xf>
    <xf numFmtId="0" fontId="2" fillId="3" borderId="0" xfId="410" applyFont="1" applyFill="1" applyAlignment="1" applyProtection="1">
      <alignment horizontal="right"/>
      <protection hidden="1"/>
    </xf>
    <xf numFmtId="0" fontId="5" fillId="10" borderId="0" xfId="410" applyFont="1" applyFill="1" applyAlignment="1" applyProtection="1">
      <protection hidden="1"/>
    </xf>
    <xf numFmtId="0" fontId="5" fillId="3" borderId="0" xfId="1" applyFont="1" applyFill="1" applyAlignment="1" applyProtection="1">
      <alignment horizontal="left" vertical="center"/>
      <protection hidden="1"/>
    </xf>
    <xf numFmtId="0" fontId="21" fillId="3" borderId="655" xfId="1" applyFont="1" applyFill="1" applyBorder="1" applyAlignment="1" applyProtection="1">
      <alignment horizontal="right"/>
      <protection hidden="1"/>
    </xf>
    <xf numFmtId="0" fontId="22" fillId="16" borderId="631" xfId="410" applyFont="1" applyFill="1" applyBorder="1" applyAlignment="1" applyProtection="1">
      <protection locked="0"/>
    </xf>
    <xf numFmtId="0" fontId="21" fillId="3" borderId="628" xfId="2" applyFont="1" applyFill="1" applyBorder="1" applyAlignment="1" applyProtection="1">
      <alignment horizontal="left" wrapText="1"/>
      <protection hidden="1"/>
    </xf>
    <xf numFmtId="0" fontId="21" fillId="3" borderId="654" xfId="2" applyFont="1" applyFill="1" applyBorder="1" applyAlignment="1" applyProtection="1">
      <alignment horizontal="left" wrapText="1"/>
      <protection hidden="1"/>
    </xf>
    <xf numFmtId="0" fontId="5" fillId="3" borderId="515" xfId="2" applyFont="1" applyFill="1" applyBorder="1" applyAlignment="1" applyProtection="1">
      <alignment horizontal="left"/>
      <protection hidden="1"/>
    </xf>
    <xf numFmtId="0" fontId="38" fillId="2" borderId="24" xfId="410" applyFont="1" applyFill="1" applyBorder="1" applyAlignment="1" applyProtection="1">
      <alignment horizontal="left"/>
      <protection hidden="1"/>
    </xf>
    <xf numFmtId="0" fontId="38" fillId="2" borderId="25" xfId="410" applyFont="1" applyFill="1" applyBorder="1" applyAlignment="1" applyProtection="1">
      <alignment horizontal="left"/>
      <protection hidden="1"/>
    </xf>
    <xf numFmtId="164" fontId="44" fillId="3" borderId="641" xfId="2" applyNumberFormat="1" applyFont="1" applyFill="1" applyBorder="1" applyAlignment="1" applyProtection="1">
      <alignment horizontal="center"/>
      <protection hidden="1"/>
    </xf>
    <xf numFmtId="164" fontId="44" fillId="3" borderId="640" xfId="2" applyNumberFormat="1" applyFont="1" applyFill="1" applyBorder="1" applyAlignment="1" applyProtection="1">
      <alignment horizontal="center"/>
      <protection hidden="1"/>
    </xf>
    <xf numFmtId="0" fontId="26" fillId="3" borderId="654" xfId="1" applyFont="1" applyFill="1" applyBorder="1" applyAlignment="1" applyProtection="1">
      <alignment horizontal="left"/>
      <protection hidden="1"/>
    </xf>
    <xf numFmtId="0" fontId="26" fillId="3" borderId="628" xfId="1" applyFont="1" applyFill="1" applyBorder="1" applyAlignment="1" applyProtection="1">
      <alignment horizontal="left"/>
      <protection hidden="1"/>
    </xf>
    <xf numFmtId="0" fontId="5" fillId="14" borderId="342" xfId="410" applyFont="1" applyFill="1" applyBorder="1" applyAlignment="1" applyProtection="1">
      <protection hidden="1"/>
    </xf>
    <xf numFmtId="0" fontId="5" fillId="14" borderId="526" xfId="410" applyFont="1" applyFill="1" applyBorder="1" applyAlignment="1" applyProtection="1">
      <protection hidden="1"/>
    </xf>
    <xf numFmtId="0" fontId="301" fillId="0" borderId="399" xfId="0" applyFont="1" applyBorder="1" applyProtection="1">
      <protection hidden="1"/>
    </xf>
    <xf numFmtId="0" fontId="136" fillId="0" borderId="656" xfId="0" applyFont="1" applyBorder="1" applyProtection="1">
      <protection hidden="1"/>
    </xf>
    <xf numFmtId="0" fontId="136" fillId="0" borderId="301" xfId="0" applyFont="1" applyBorder="1" applyProtection="1">
      <protection hidden="1"/>
    </xf>
    <xf numFmtId="0" fontId="136" fillId="0" borderId="640" xfId="0" applyFont="1" applyBorder="1" applyProtection="1">
      <protection hidden="1"/>
    </xf>
    <xf numFmtId="0" fontId="136" fillId="0" borderId="710" xfId="0" applyFont="1" applyBorder="1" applyProtection="1">
      <protection hidden="1"/>
    </xf>
    <xf numFmtId="0" fontId="136" fillId="0" borderId="578" xfId="0" applyFont="1" applyBorder="1" applyProtection="1">
      <protection hidden="1"/>
    </xf>
    <xf numFmtId="0" fontId="199" fillId="3" borderId="641" xfId="2" applyFont="1" applyFill="1" applyBorder="1" applyAlignment="1" applyProtection="1">
      <alignment wrapText="1"/>
      <protection hidden="1"/>
    </xf>
    <xf numFmtId="0" fontId="199" fillId="3" borderId="0" xfId="2" applyFont="1" applyFill="1" applyBorder="1" applyAlignment="1" applyProtection="1">
      <alignment wrapText="1"/>
      <protection hidden="1"/>
    </xf>
    <xf numFmtId="0" fontId="199" fillId="3" borderId="301" xfId="2" applyFont="1" applyFill="1" applyBorder="1" applyAlignment="1" applyProtection="1">
      <alignment wrapText="1"/>
      <protection hidden="1"/>
    </xf>
    <xf numFmtId="0" fontId="199" fillId="3" borderId="494" xfId="2" applyFont="1" applyFill="1" applyBorder="1" applyAlignment="1" applyProtection="1">
      <alignment wrapText="1"/>
      <protection hidden="1"/>
    </xf>
    <xf numFmtId="0" fontId="199" fillId="3" borderId="515" xfId="2" applyFont="1" applyFill="1" applyBorder="1" applyAlignment="1" applyProtection="1">
      <alignment wrapText="1"/>
      <protection hidden="1"/>
    </xf>
    <xf numFmtId="0" fontId="199" fillId="3" borderId="495" xfId="2" applyFont="1" applyFill="1" applyBorder="1" applyAlignment="1" applyProtection="1">
      <alignment wrapText="1"/>
      <protection hidden="1"/>
    </xf>
    <xf numFmtId="0" fontId="5" fillId="3" borderId="0" xfId="1" applyFont="1" applyFill="1" applyBorder="1" applyAlignment="1" applyProtection="1">
      <alignment horizontal="left"/>
      <protection hidden="1"/>
    </xf>
    <xf numFmtId="0" fontId="214" fillId="0" borderId="595" xfId="410" applyFont="1" applyBorder="1" applyAlignment="1" applyProtection="1">
      <alignment horizontal="center" vertical="center" wrapText="1"/>
      <protection hidden="1"/>
    </xf>
    <xf numFmtId="0" fontId="214" fillId="0" borderId="526" xfId="410" applyFont="1" applyBorder="1" applyAlignment="1" applyProtection="1">
      <alignment horizontal="center" vertical="center" wrapText="1"/>
      <protection hidden="1"/>
    </xf>
    <xf numFmtId="0" fontId="214" fillId="0" borderId="641" xfId="410" applyFont="1" applyBorder="1" applyAlignment="1" applyProtection="1">
      <alignment horizontal="center" vertical="center" wrapText="1"/>
      <protection hidden="1"/>
    </xf>
    <xf numFmtId="0" fontId="214" fillId="0" borderId="301" xfId="410" applyFont="1" applyBorder="1" applyAlignment="1" applyProtection="1">
      <alignment horizontal="center" vertical="center" wrapText="1"/>
      <protection hidden="1"/>
    </xf>
    <xf numFmtId="1" fontId="9" fillId="0" borderId="301" xfId="1" applyNumberFormat="1" applyFont="1" applyBorder="1" applyAlignment="1" applyProtection="1">
      <protection hidden="1"/>
    </xf>
    <xf numFmtId="1" fontId="9" fillId="0" borderId="640" xfId="1" applyNumberFormat="1" applyFont="1" applyBorder="1" applyAlignment="1" applyProtection="1">
      <protection hidden="1"/>
    </xf>
    <xf numFmtId="0" fontId="51" fillId="0" borderId="335" xfId="1" applyFont="1" applyFill="1" applyBorder="1" applyAlignment="1" applyProtection="1">
      <protection hidden="1"/>
    </xf>
    <xf numFmtId="0" fontId="27" fillId="3" borderId="0" xfId="1" applyFont="1" applyFill="1" applyBorder="1" applyAlignment="1" applyProtection="1">
      <alignment horizontal="center"/>
      <protection hidden="1"/>
    </xf>
    <xf numFmtId="0" fontId="5" fillId="0" borderId="301" xfId="1" applyFont="1" applyBorder="1" applyAlignment="1" applyProtection="1">
      <alignment horizontal="left"/>
      <protection hidden="1"/>
    </xf>
    <xf numFmtId="0" fontId="5" fillId="0" borderId="640" xfId="1" applyFont="1" applyBorder="1" applyAlignment="1" applyProtection="1">
      <alignment horizontal="left"/>
      <protection hidden="1"/>
    </xf>
    <xf numFmtId="0" fontId="9" fillId="0" borderId="602" xfId="410" applyFont="1" applyBorder="1" applyAlignment="1" applyProtection="1">
      <protection hidden="1"/>
    </xf>
    <xf numFmtId="0" fontId="9" fillId="0" borderId="495" xfId="410" applyFont="1" applyBorder="1" applyAlignment="1" applyProtection="1">
      <protection hidden="1"/>
    </xf>
    <xf numFmtId="0" fontId="5" fillId="0" borderId="602" xfId="410" applyFont="1" applyBorder="1" applyProtection="1">
      <protection hidden="1"/>
    </xf>
    <xf numFmtId="0" fontId="5" fillId="0" borderId="495" xfId="410" applyFont="1" applyBorder="1" applyProtection="1">
      <protection hidden="1"/>
    </xf>
    <xf numFmtId="0" fontId="61" fillId="0" borderId="335" xfId="1" applyFont="1" applyBorder="1" applyAlignment="1" applyProtection="1">
      <protection hidden="1"/>
    </xf>
    <xf numFmtId="0" fontId="61" fillId="0" borderId="333" xfId="1" applyFont="1" applyBorder="1" applyAlignment="1" applyProtection="1">
      <protection hidden="1"/>
    </xf>
    <xf numFmtId="0" fontId="14" fillId="10" borderId="0" xfId="410" applyFont="1" applyFill="1" applyBorder="1" applyAlignment="1" applyProtection="1">
      <alignment horizontal="left"/>
      <protection hidden="1"/>
    </xf>
    <xf numFmtId="0" fontId="5" fillId="3" borderId="24" xfId="410" applyFont="1" applyFill="1" applyBorder="1" applyAlignment="1" applyProtection="1">
      <protection hidden="1"/>
    </xf>
    <xf numFmtId="0" fontId="5" fillId="14" borderId="27" xfId="410" applyFont="1" applyFill="1" applyBorder="1" applyAlignment="1" applyProtection="1">
      <protection hidden="1"/>
    </xf>
    <xf numFmtId="0" fontId="5" fillId="14" borderId="28" xfId="410" applyFont="1" applyFill="1" applyBorder="1" applyAlignment="1" applyProtection="1">
      <protection hidden="1"/>
    </xf>
    <xf numFmtId="0" fontId="5" fillId="14" borderId="29" xfId="410" applyFont="1" applyFill="1" applyBorder="1" applyAlignment="1" applyProtection="1">
      <protection hidden="1"/>
    </xf>
    <xf numFmtId="1" fontId="5" fillId="3" borderId="641" xfId="2" applyNumberFormat="1" applyFill="1" applyBorder="1" applyAlignment="1" applyProtection="1">
      <alignment horizontal="left"/>
      <protection hidden="1"/>
    </xf>
    <xf numFmtId="0" fontId="5" fillId="14" borderId="39" xfId="410" applyFont="1" applyFill="1" applyBorder="1" applyAlignment="1" applyProtection="1">
      <protection hidden="1"/>
    </xf>
    <xf numFmtId="0" fontId="5" fillId="14" borderId="40" xfId="410" applyFont="1" applyFill="1" applyBorder="1" applyAlignment="1" applyProtection="1">
      <protection hidden="1"/>
    </xf>
    <xf numFmtId="0" fontId="52" fillId="14" borderId="706" xfId="410" applyFont="1" applyFill="1" applyBorder="1" applyAlignment="1" applyProtection="1">
      <alignment horizontal="left"/>
      <protection hidden="1"/>
    </xf>
    <xf numFmtId="0" fontId="52" fillId="14" borderId="707" xfId="410" applyFont="1" applyFill="1" applyBorder="1" applyAlignment="1" applyProtection="1">
      <alignment horizontal="left"/>
      <protection hidden="1"/>
    </xf>
    <xf numFmtId="0" fontId="52" fillId="14" borderId="708" xfId="410" applyFont="1" applyFill="1" applyBorder="1" applyAlignment="1" applyProtection="1">
      <alignment horizontal="left"/>
      <protection hidden="1"/>
    </xf>
    <xf numFmtId="164" fontId="5" fillId="3" borderId="494" xfId="2" applyNumberFormat="1" applyFill="1" applyBorder="1" applyAlignment="1" applyProtection="1">
      <alignment horizontal="left"/>
      <protection hidden="1"/>
    </xf>
    <xf numFmtId="0" fontId="34" fillId="2" borderId="34" xfId="410" applyFont="1" applyFill="1" applyBorder="1" applyAlignment="1" applyProtection="1">
      <alignment horizontal="left"/>
      <protection hidden="1"/>
    </xf>
    <xf numFmtId="0" fontId="34" fillId="2" borderId="35" xfId="410" applyFont="1" applyFill="1" applyBorder="1" applyAlignment="1" applyProtection="1">
      <alignment horizontal="left"/>
      <protection hidden="1"/>
    </xf>
    <xf numFmtId="0" fontId="34" fillId="4" borderId="35" xfId="410" applyFont="1" applyFill="1" applyBorder="1" applyAlignment="1" applyProtection="1">
      <alignment horizontal="left"/>
      <protection hidden="1"/>
    </xf>
    <xf numFmtId="0" fontId="34" fillId="4" borderId="38" xfId="410" applyFont="1" applyFill="1" applyBorder="1" applyAlignment="1" applyProtection="1">
      <alignment horizontal="left"/>
      <protection hidden="1"/>
    </xf>
    <xf numFmtId="164" fontId="5" fillId="3" borderId="641" xfId="2" applyNumberFormat="1" applyFill="1" applyBorder="1" applyAlignment="1" applyProtection="1">
      <alignment horizontal="left"/>
      <protection hidden="1"/>
    </xf>
    <xf numFmtId="0" fontId="16" fillId="2" borderId="641" xfId="410" applyFont="1" applyFill="1" applyBorder="1" applyAlignment="1" applyProtection="1">
      <alignment horizontal="left"/>
      <protection hidden="1"/>
    </xf>
    <xf numFmtId="0" fontId="16" fillId="2" borderId="0" xfId="410" applyFont="1" applyFill="1" applyBorder="1" applyAlignment="1" applyProtection="1">
      <alignment horizontal="left"/>
      <protection hidden="1"/>
    </xf>
    <xf numFmtId="0" fontId="36" fillId="4" borderId="0" xfId="410" applyFont="1" applyFill="1" applyBorder="1" applyAlignment="1" applyProtection="1">
      <alignment horizontal="left"/>
      <protection hidden="1"/>
    </xf>
    <xf numFmtId="0" fontId="36" fillId="4" borderId="301" xfId="410" applyFont="1" applyFill="1" applyBorder="1" applyAlignment="1" applyProtection="1">
      <alignment horizontal="left"/>
      <protection hidden="1"/>
    </xf>
    <xf numFmtId="0" fontId="5" fillId="14" borderId="675" xfId="410" applyFont="1" applyFill="1" applyBorder="1" applyAlignment="1" applyProtection="1">
      <protection hidden="1"/>
    </xf>
    <xf numFmtId="0" fontId="5" fillId="14" borderId="697" xfId="410" applyFont="1" applyFill="1" applyBorder="1" applyAlignment="1" applyProtection="1">
      <protection hidden="1"/>
    </xf>
    <xf numFmtId="0" fontId="5" fillId="14" borderId="704" xfId="410" applyFont="1" applyFill="1" applyBorder="1" applyAlignment="1" applyProtection="1">
      <protection hidden="1"/>
    </xf>
    <xf numFmtId="0" fontId="9" fillId="3" borderId="656" xfId="1" applyFont="1" applyFill="1" applyBorder="1" applyAlignment="1" applyProtection="1">
      <alignment wrapText="1"/>
      <protection hidden="1"/>
    </xf>
    <xf numFmtId="164" fontId="5" fillId="45" borderId="12" xfId="2" applyNumberFormat="1" applyFill="1" applyBorder="1" applyAlignment="1" applyProtection="1">
      <alignment horizontal="left"/>
      <protection hidden="1"/>
    </xf>
    <xf numFmtId="164" fontId="5" fillId="45" borderId="13" xfId="2" applyNumberFormat="1" applyFill="1" applyBorder="1" applyAlignment="1" applyProtection="1">
      <alignment horizontal="left"/>
      <protection hidden="1"/>
    </xf>
    <xf numFmtId="164" fontId="5" fillId="45" borderId="14" xfId="2" applyNumberFormat="1" applyFill="1" applyBorder="1" applyAlignment="1" applyProtection="1">
      <alignment horizontal="left"/>
      <protection hidden="1"/>
    </xf>
    <xf numFmtId="0" fontId="198" fillId="3" borderId="494" xfId="2" applyFont="1" applyFill="1" applyBorder="1" applyAlignment="1" applyProtection="1">
      <alignment horizontal="right"/>
      <protection hidden="1"/>
    </xf>
    <xf numFmtId="0" fontId="198" fillId="3" borderId="515" xfId="2" applyFont="1" applyFill="1" applyBorder="1" applyAlignment="1" applyProtection="1">
      <alignment horizontal="right"/>
      <protection hidden="1"/>
    </xf>
    <xf numFmtId="0" fontId="29" fillId="3" borderId="294" xfId="2" applyFont="1" applyFill="1" applyBorder="1" applyAlignment="1" applyProtection="1">
      <alignment horizontal="center"/>
      <protection hidden="1"/>
    </xf>
    <xf numFmtId="0" fontId="30" fillId="3" borderId="515" xfId="2" applyFont="1" applyFill="1" applyBorder="1" applyAlignment="1" applyProtection="1">
      <alignment horizontal="center"/>
      <protection hidden="1"/>
    </xf>
    <xf numFmtId="0" fontId="40" fillId="4" borderId="0" xfId="410" applyFont="1" applyFill="1" applyBorder="1" applyAlignment="1" applyProtection="1">
      <alignment horizontal="left"/>
      <protection hidden="1"/>
    </xf>
    <xf numFmtId="0" fontId="40" fillId="4" borderId="30" xfId="410" applyFont="1" applyFill="1" applyBorder="1" applyAlignment="1" applyProtection="1">
      <alignment horizontal="left"/>
      <protection hidden="1"/>
    </xf>
    <xf numFmtId="0" fontId="5" fillId="3" borderId="595" xfId="2" applyFill="1" applyBorder="1" applyAlignment="1" applyProtection="1">
      <alignment horizontal="center"/>
      <protection hidden="1"/>
    </xf>
    <xf numFmtId="0" fontId="5" fillId="3" borderId="526" xfId="2" applyFill="1" applyBorder="1" applyAlignment="1" applyProtection="1">
      <alignment horizontal="center"/>
      <protection hidden="1"/>
    </xf>
    <xf numFmtId="0" fontId="5" fillId="3" borderId="641" xfId="2" applyFill="1" applyBorder="1" applyAlignment="1" applyProtection="1">
      <alignment horizontal="center"/>
      <protection hidden="1"/>
    </xf>
    <xf numFmtId="0" fontId="5" fillId="3" borderId="301" xfId="2" applyFill="1" applyBorder="1" applyAlignment="1" applyProtection="1">
      <alignment horizontal="center"/>
      <protection hidden="1"/>
    </xf>
    <xf numFmtId="0" fontId="5" fillId="3" borderId="494" xfId="2" applyFill="1" applyBorder="1" applyAlignment="1" applyProtection="1">
      <alignment horizontal="center"/>
      <protection hidden="1"/>
    </xf>
    <xf numFmtId="0" fontId="5" fillId="3" borderId="495" xfId="2" applyFill="1" applyBorder="1" applyAlignment="1" applyProtection="1">
      <alignment horizontal="center"/>
      <protection hidden="1"/>
    </xf>
    <xf numFmtId="0" fontId="201" fillId="3" borderId="342" xfId="1" applyFont="1" applyFill="1" applyBorder="1" applyAlignment="1" applyProtection="1">
      <alignment horizontal="center"/>
      <protection hidden="1"/>
    </xf>
    <xf numFmtId="0" fontId="201" fillId="3" borderId="526" xfId="1" applyFont="1" applyFill="1" applyBorder="1" applyAlignment="1" applyProtection="1">
      <alignment horizontal="center"/>
      <protection hidden="1"/>
    </xf>
    <xf numFmtId="0" fontId="202" fillId="3" borderId="595" xfId="1" applyFont="1" applyFill="1" applyBorder="1" applyAlignment="1" applyProtection="1">
      <alignment horizontal="center"/>
      <protection hidden="1"/>
    </xf>
    <xf numFmtId="0" fontId="202" fillId="3" borderId="342" xfId="1" applyFont="1" applyFill="1" applyBorder="1" applyAlignment="1" applyProtection="1">
      <alignment horizontal="center"/>
      <protection hidden="1"/>
    </xf>
    <xf numFmtId="0" fontId="202" fillId="3" borderId="526" xfId="1" applyFont="1" applyFill="1" applyBorder="1" applyAlignment="1" applyProtection="1">
      <alignment horizontal="center"/>
      <protection hidden="1"/>
    </xf>
    <xf numFmtId="0" fontId="44" fillId="47" borderId="617" xfId="198" applyFont="1" applyFill="1" applyBorder="1" applyAlignment="1" applyProtection="1">
      <alignment horizontal="left"/>
      <protection hidden="1"/>
    </xf>
    <xf numFmtId="0" fontId="5" fillId="0" borderId="0" xfId="1" applyFont="1" applyAlignment="1" applyProtection="1">
      <protection hidden="1"/>
    </xf>
    <xf numFmtId="0" fontId="15" fillId="0" borderId="11" xfId="3" applyFont="1" applyBorder="1" applyAlignment="1" applyProtection="1">
      <alignment horizontal="left"/>
      <protection hidden="1"/>
    </xf>
    <xf numFmtId="0" fontId="67" fillId="0" borderId="84" xfId="2" applyFont="1" applyBorder="1" applyAlignment="1" applyProtection="1">
      <alignment horizontal="center"/>
      <protection hidden="1"/>
    </xf>
    <xf numFmtId="0" fontId="67" fillId="0" borderId="21" xfId="2" applyFont="1" applyBorder="1" applyAlignment="1" applyProtection="1">
      <alignment horizontal="center"/>
      <protection hidden="1"/>
    </xf>
    <xf numFmtId="0" fontId="5" fillId="4" borderId="617" xfId="413" applyFont="1" applyFill="1" applyBorder="1" applyAlignment="1" applyProtection="1">
      <alignment horizontal="left"/>
      <protection hidden="1"/>
    </xf>
    <xf numFmtId="0" fontId="5" fillId="0" borderId="0" xfId="410" applyFont="1" applyAlignment="1" applyProtection="1">
      <protection hidden="1"/>
    </xf>
    <xf numFmtId="0" fontId="5" fillId="0" borderId="21" xfId="410" applyFont="1" applyBorder="1" applyAlignment="1" applyProtection="1">
      <protection hidden="1"/>
    </xf>
    <xf numFmtId="0" fontId="203" fillId="0" borderId="174" xfId="1" applyFont="1" applyBorder="1" applyAlignment="1" applyProtection="1">
      <protection hidden="1"/>
    </xf>
    <xf numFmtId="0" fontId="203" fillId="0" borderId="141" xfId="1" applyFont="1" applyBorder="1" applyAlignment="1" applyProtection="1">
      <protection hidden="1"/>
    </xf>
    <xf numFmtId="0" fontId="107" fillId="0" borderId="0" xfId="410" applyFont="1" applyAlignment="1" applyProtection="1">
      <protection hidden="1"/>
    </xf>
    <xf numFmtId="0" fontId="26" fillId="0" borderId="193" xfId="1" applyFont="1" applyBorder="1" applyAlignment="1" applyProtection="1">
      <alignment horizontal="center"/>
      <protection hidden="1"/>
    </xf>
    <xf numFmtId="0" fontId="5" fillId="0" borderId="291" xfId="410" applyFont="1" applyFill="1" applyBorder="1" applyAlignment="1" applyProtection="1">
      <alignment horizontal="center"/>
      <protection hidden="1"/>
    </xf>
    <xf numFmtId="0" fontId="5" fillId="0" borderId="292" xfId="410" applyFont="1" applyFill="1" applyBorder="1" applyAlignment="1" applyProtection="1">
      <alignment horizontal="center"/>
      <protection hidden="1"/>
    </xf>
    <xf numFmtId="0" fontId="5" fillId="0" borderId="293" xfId="410" applyFont="1" applyFill="1" applyBorder="1" applyAlignment="1" applyProtection="1">
      <alignment horizontal="center"/>
      <protection hidden="1"/>
    </xf>
    <xf numFmtId="0" fontId="14" fillId="4" borderId="0" xfId="410" applyFont="1" applyFill="1" applyBorder="1" applyAlignment="1" applyProtection="1">
      <alignment horizontal="left"/>
      <protection hidden="1"/>
    </xf>
    <xf numFmtId="0" fontId="5" fillId="4" borderId="0" xfId="410" applyFont="1" applyFill="1" applyAlignment="1" applyProtection="1">
      <protection hidden="1"/>
    </xf>
    <xf numFmtId="0" fontId="17" fillId="4" borderId="0" xfId="2" applyFont="1" applyFill="1" applyAlignment="1" applyProtection="1">
      <alignment horizontal="right" vertical="top" wrapText="1"/>
      <protection hidden="1"/>
    </xf>
    <xf numFmtId="0" fontId="5" fillId="4" borderId="0" xfId="6" applyFont="1" applyFill="1" applyAlignment="1" applyProtection="1">
      <alignment horizontal="left" vertical="top" wrapText="1"/>
      <protection hidden="1"/>
    </xf>
    <xf numFmtId="0" fontId="44" fillId="3" borderId="595" xfId="2" applyFont="1" applyFill="1" applyBorder="1" applyAlignment="1" applyProtection="1">
      <alignment horizontal="left"/>
      <protection hidden="1"/>
    </xf>
    <xf numFmtId="0" fontId="44" fillId="3" borderId="399" xfId="2" applyFont="1" applyFill="1" applyBorder="1" applyAlignment="1" applyProtection="1">
      <alignment horizontal="left"/>
      <protection hidden="1"/>
    </xf>
    <xf numFmtId="0" fontId="32" fillId="3" borderId="641" xfId="2" applyFont="1" applyFill="1" applyBorder="1" applyAlignment="1" applyProtection="1">
      <alignment horizontal="left"/>
      <protection hidden="1"/>
    </xf>
    <xf numFmtId="0" fontId="32" fillId="3" borderId="301" xfId="2" applyFont="1" applyFill="1" applyBorder="1" applyAlignment="1" applyProtection="1">
      <alignment horizontal="left"/>
      <protection hidden="1"/>
    </xf>
    <xf numFmtId="0" fontId="44" fillId="3" borderId="711" xfId="2" applyFont="1" applyFill="1" applyBorder="1" applyAlignment="1" applyProtection="1">
      <alignment horizontal="left"/>
      <protection hidden="1"/>
    </xf>
    <xf numFmtId="0" fontId="44" fillId="3" borderId="712" xfId="2" applyFont="1" applyFill="1" applyBorder="1" applyAlignment="1" applyProtection="1">
      <alignment horizontal="left"/>
      <protection hidden="1"/>
    </xf>
    <xf numFmtId="0" fontId="44" fillId="3" borderId="678" xfId="2" applyFont="1" applyFill="1" applyBorder="1" applyAlignment="1" applyProtection="1">
      <alignment horizontal="left"/>
      <protection hidden="1"/>
    </xf>
    <xf numFmtId="0" fontId="44" fillId="3" borderId="713" xfId="2" applyFont="1" applyFill="1" applyBorder="1" applyAlignment="1" applyProtection="1">
      <alignment horizontal="left"/>
      <protection hidden="1"/>
    </xf>
    <xf numFmtId="0" fontId="5" fillId="0" borderId="655" xfId="410" applyFont="1" applyBorder="1" applyAlignment="1" applyProtection="1">
      <alignment horizontal="left"/>
      <protection hidden="1"/>
    </xf>
    <xf numFmtId="0" fontId="5" fillId="0" borderId="654" xfId="410" applyFont="1" applyBorder="1" applyAlignment="1" applyProtection="1">
      <alignment horizontal="left"/>
      <protection hidden="1"/>
    </xf>
    <xf numFmtId="2" fontId="5" fillId="0" borderId="655" xfId="2" applyNumberFormat="1" applyBorder="1" applyAlignment="1" applyProtection="1">
      <alignment horizontal="left" wrapText="1"/>
      <protection hidden="1"/>
    </xf>
    <xf numFmtId="2" fontId="5" fillId="0" borderId="654" xfId="2" applyNumberFormat="1" applyBorder="1" applyAlignment="1" applyProtection="1">
      <alignment horizontal="left" wrapText="1"/>
      <protection hidden="1"/>
    </xf>
    <xf numFmtId="0" fontId="44" fillId="4" borderId="641" xfId="2" applyFont="1" applyFill="1" applyBorder="1" applyAlignment="1" applyProtection="1">
      <alignment horizontal="left" vertical="center"/>
      <protection hidden="1"/>
    </xf>
    <xf numFmtId="0" fontId="44" fillId="4" borderId="0" xfId="2" applyFont="1" applyFill="1" applyBorder="1" applyAlignment="1" applyProtection="1">
      <alignment horizontal="left" vertical="center"/>
      <protection hidden="1"/>
    </xf>
    <xf numFmtId="0" fontId="5" fillId="2" borderId="0" xfId="2" applyFill="1" applyAlignment="1" applyProtection="1">
      <alignment wrapText="1"/>
      <protection hidden="1"/>
    </xf>
    <xf numFmtId="0" fontId="0" fillId="0" borderId="737" xfId="0" applyBorder="1"/>
    <xf numFmtId="0" fontId="40" fillId="0" borderId="656" xfId="410" applyFont="1" applyBorder="1" applyAlignment="1" applyProtection="1">
      <alignment horizontal="center" vertical="top" wrapText="1"/>
      <protection hidden="1"/>
    </xf>
    <xf numFmtId="0" fontId="212" fillId="0" borderId="656" xfId="410" applyFont="1" applyBorder="1" applyProtection="1">
      <protection hidden="1"/>
    </xf>
    <xf numFmtId="0" fontId="212" fillId="0" borderId="640" xfId="410" applyFont="1" applyBorder="1" applyProtection="1">
      <protection hidden="1"/>
    </xf>
    <xf numFmtId="0" fontId="27" fillId="4" borderId="628" xfId="2" applyFont="1" applyFill="1" applyBorder="1" applyAlignment="1" applyProtection="1">
      <alignment horizontal="center" vertical="center" wrapText="1"/>
      <protection hidden="1"/>
    </xf>
    <xf numFmtId="0" fontId="44" fillId="4" borderId="0" xfId="410" applyFont="1" applyFill="1" applyAlignment="1" applyProtection="1">
      <alignment horizontal="left" vertical="center" wrapText="1"/>
      <protection hidden="1"/>
    </xf>
    <xf numFmtId="0" fontId="44" fillId="4" borderId="0" xfId="410" applyFont="1" applyFill="1" applyBorder="1" applyAlignment="1" applyProtection="1">
      <alignment horizontal="left" wrapText="1"/>
      <protection hidden="1"/>
    </xf>
    <xf numFmtId="164" fontId="5" fillId="4" borderId="655" xfId="2" applyNumberFormat="1" applyFont="1" applyFill="1" applyBorder="1" applyAlignment="1" applyProtection="1">
      <alignment horizontal="center"/>
      <protection hidden="1"/>
    </xf>
    <xf numFmtId="164" fontId="5" fillId="4" borderId="654" xfId="2" applyNumberFormat="1" applyFont="1" applyFill="1" applyBorder="1" applyAlignment="1" applyProtection="1">
      <alignment horizontal="center"/>
      <protection hidden="1"/>
    </xf>
    <xf numFmtId="0" fontId="12" fillId="0" borderId="0" xfId="3">
      <alignment vertical="top"/>
      <protection locked="0"/>
    </xf>
    <xf numFmtId="0" fontId="14" fillId="3" borderId="0" xfId="1" applyFont="1" applyFill="1" applyAlignment="1" applyProtection="1">
      <alignment horizontal="left"/>
      <protection hidden="1"/>
    </xf>
    <xf numFmtId="0" fontId="34" fillId="3" borderId="656" xfId="2" applyFont="1" applyFill="1" applyBorder="1" applyAlignment="1" applyProtection="1">
      <alignment horizontal="center" vertical="top" wrapText="1"/>
      <protection hidden="1"/>
    </xf>
    <xf numFmtId="0" fontId="34" fillId="3" borderId="640" xfId="2" applyFont="1" applyFill="1" applyBorder="1" applyAlignment="1" applyProtection="1">
      <alignment horizontal="center" vertical="top" wrapText="1"/>
      <protection hidden="1"/>
    </xf>
    <xf numFmtId="0" fontId="36" fillId="3" borderId="656" xfId="2" applyFont="1" applyFill="1" applyBorder="1" applyAlignment="1" applyProtection="1">
      <alignment horizontal="center" vertical="top" wrapText="1"/>
      <protection hidden="1"/>
    </xf>
    <xf numFmtId="0" fontId="36" fillId="3" borderId="640" xfId="2" applyFont="1" applyFill="1" applyBorder="1" applyAlignment="1" applyProtection="1">
      <alignment horizontal="center" vertical="top" wrapText="1"/>
      <protection hidden="1"/>
    </xf>
    <xf numFmtId="0" fontId="111" fillId="0" borderId="595" xfId="410" applyFont="1" applyBorder="1" applyAlignment="1" applyProtection="1">
      <alignment horizontal="center" vertical="center" wrapText="1"/>
      <protection hidden="1"/>
    </xf>
    <xf numFmtId="0" fontId="111" fillId="0" borderId="526" xfId="410" applyFont="1" applyBorder="1" applyAlignment="1" applyProtection="1">
      <alignment horizontal="center" vertical="center" wrapText="1"/>
      <protection hidden="1"/>
    </xf>
    <xf numFmtId="0" fontId="111" fillId="0" borderId="641" xfId="410" applyFont="1" applyBorder="1" applyAlignment="1" applyProtection="1">
      <alignment horizontal="center" vertical="center" wrapText="1"/>
      <protection hidden="1"/>
    </xf>
    <xf numFmtId="0" fontId="111" fillId="0" borderId="301" xfId="410" applyFont="1" applyBorder="1" applyAlignment="1" applyProtection="1">
      <alignment horizontal="center" vertical="center" wrapText="1"/>
      <protection hidden="1"/>
    </xf>
    <xf numFmtId="0" fontId="210" fillId="0" borderId="595" xfId="2" applyFont="1" applyBorder="1" applyAlignment="1" applyProtection="1">
      <alignment horizontal="center" vertical="center" wrapText="1"/>
      <protection hidden="1"/>
    </xf>
    <xf numFmtId="0" fontId="210" fillId="0" borderId="526" xfId="2" applyFont="1" applyBorder="1" applyAlignment="1" applyProtection="1">
      <alignment horizontal="center" vertical="center" wrapText="1"/>
      <protection hidden="1"/>
    </xf>
    <xf numFmtId="0" fontId="210" fillId="0" borderId="641" xfId="2" applyFont="1" applyBorder="1" applyAlignment="1" applyProtection="1">
      <alignment horizontal="center" vertical="center" wrapText="1"/>
      <protection hidden="1"/>
    </xf>
    <xf numFmtId="0" fontId="210" fillId="0" borderId="301" xfId="2" applyFont="1" applyBorder="1" applyAlignment="1" applyProtection="1">
      <alignment horizontal="center" vertical="center" wrapText="1"/>
      <protection hidden="1"/>
    </xf>
    <xf numFmtId="0" fontId="5" fillId="0" borderId="301" xfId="1" applyFont="1" applyBorder="1" applyAlignment="1" applyProtection="1">
      <protection hidden="1"/>
    </xf>
    <xf numFmtId="0" fontId="5" fillId="0" borderId="640" xfId="1" applyFont="1" applyBorder="1" applyAlignment="1" applyProtection="1">
      <protection hidden="1"/>
    </xf>
    <xf numFmtId="0" fontId="5" fillId="0" borderId="595" xfId="410" applyFont="1" applyBorder="1" applyAlignment="1" applyProtection="1">
      <protection hidden="1"/>
    </xf>
    <xf numFmtId="0" fontId="5" fillId="0" borderId="526" xfId="410" applyFont="1" applyBorder="1" applyAlignment="1" applyProtection="1">
      <protection hidden="1"/>
    </xf>
    <xf numFmtId="0" fontId="5" fillId="3" borderId="631" xfId="2" applyFill="1" applyBorder="1" applyAlignment="1" applyProtection="1">
      <protection hidden="1"/>
    </xf>
    <xf numFmtId="0" fontId="5" fillId="3" borderId="628" xfId="2" applyFill="1" applyBorder="1" applyAlignment="1" applyProtection="1">
      <protection hidden="1"/>
    </xf>
    <xf numFmtId="0" fontId="5" fillId="3" borderId="358" xfId="2" applyFill="1" applyBorder="1" applyAlignment="1" applyProtection="1">
      <protection hidden="1"/>
    </xf>
    <xf numFmtId="0" fontId="5" fillId="3" borderId="359" xfId="2" applyFill="1" applyBorder="1" applyAlignment="1" applyProtection="1">
      <protection hidden="1"/>
    </xf>
    <xf numFmtId="0" fontId="5" fillId="3" borderId="361" xfId="2" applyFill="1" applyBorder="1" applyAlignment="1" applyProtection="1">
      <protection hidden="1"/>
    </xf>
    <xf numFmtId="0" fontId="32" fillId="3" borderId="0" xfId="1" applyFont="1" applyFill="1" applyBorder="1" applyAlignment="1" applyProtection="1">
      <alignment horizontal="left"/>
      <protection hidden="1"/>
    </xf>
    <xf numFmtId="0" fontId="32" fillId="3" borderId="301" xfId="1" applyFont="1" applyFill="1" applyBorder="1" applyAlignment="1" applyProtection="1">
      <alignment horizontal="left"/>
      <protection hidden="1"/>
    </xf>
    <xf numFmtId="0" fontId="9" fillId="0" borderId="342" xfId="410" applyFont="1" applyBorder="1" applyAlignment="1" applyProtection="1">
      <protection hidden="1"/>
    </xf>
    <xf numFmtId="0" fontId="9" fillId="0" borderId="526" xfId="410" applyFont="1" applyBorder="1" applyAlignment="1" applyProtection="1">
      <protection hidden="1"/>
    </xf>
    <xf numFmtId="0" fontId="5" fillId="3" borderId="365" xfId="2" applyFill="1" applyBorder="1" applyAlignment="1" applyProtection="1">
      <alignment horizontal="center"/>
      <protection hidden="1"/>
    </xf>
    <xf numFmtId="0" fontId="5" fillId="3" borderId="357" xfId="2" applyFill="1" applyBorder="1" applyAlignment="1" applyProtection="1">
      <alignment horizontal="center"/>
      <protection hidden="1"/>
    </xf>
    <xf numFmtId="0" fontId="5" fillId="3" borderId="334" xfId="2" applyFill="1" applyBorder="1" applyAlignment="1" applyProtection="1">
      <alignment horizontal="center"/>
      <protection hidden="1"/>
    </xf>
    <xf numFmtId="0" fontId="5" fillId="0" borderId="302" xfId="1" applyFont="1" applyBorder="1" applyAlignment="1" applyProtection="1">
      <protection hidden="1"/>
    </xf>
    <xf numFmtId="0" fontId="9" fillId="0" borderId="21" xfId="2" applyFont="1" applyBorder="1" applyAlignment="1" applyProtection="1">
      <protection hidden="1"/>
    </xf>
    <xf numFmtId="0" fontId="13" fillId="3" borderId="0" xfId="3" applyFont="1" applyFill="1" applyAlignment="1" applyProtection="1">
      <protection hidden="1"/>
    </xf>
    <xf numFmtId="0" fontId="13" fillId="4" borderId="0" xfId="3" applyFont="1" applyFill="1" applyAlignment="1" applyProtection="1">
      <protection hidden="1"/>
    </xf>
    <xf numFmtId="2" fontId="5" fillId="3" borderId="365" xfId="2" applyNumberFormat="1" applyFill="1" applyBorder="1" applyAlignment="1" applyProtection="1">
      <alignment horizontal="center"/>
      <protection hidden="1"/>
    </xf>
    <xf numFmtId="0" fontId="5" fillId="5" borderId="357" xfId="2" applyFill="1" applyBorder="1" applyAlignment="1" applyProtection="1">
      <alignment horizontal="center"/>
      <protection locked="0"/>
    </xf>
    <xf numFmtId="0" fontId="5" fillId="5" borderId="334" xfId="2" applyFill="1" applyBorder="1" applyAlignment="1" applyProtection="1">
      <alignment horizontal="center"/>
      <protection locked="0"/>
    </xf>
    <xf numFmtId="2" fontId="5" fillId="0" borderId="365" xfId="410" applyNumberFormat="1" applyFont="1" applyBorder="1" applyAlignment="1" applyProtection="1">
      <alignment horizontal="center"/>
      <protection hidden="1"/>
    </xf>
    <xf numFmtId="0" fontId="44" fillId="0" borderId="342" xfId="1" applyFont="1" applyBorder="1" applyAlignment="1" applyProtection="1">
      <protection hidden="1"/>
    </xf>
    <xf numFmtId="0" fontId="26" fillId="3" borderId="602" xfId="4" applyFont="1" applyFill="1" applyBorder="1" applyAlignment="1" applyProtection="1">
      <alignment horizontal="left"/>
      <protection hidden="1"/>
    </xf>
    <xf numFmtId="0" fontId="1" fillId="4" borderId="0" xfId="410" applyFont="1" applyFill="1" applyAlignment="1" applyProtection="1">
      <alignment horizontal="right"/>
      <protection hidden="1"/>
    </xf>
    <xf numFmtId="0" fontId="71" fillId="2" borderId="0" xfId="1" applyFont="1" applyFill="1" applyAlignment="1" applyProtection="1">
      <alignment horizontal="right"/>
      <protection hidden="1"/>
    </xf>
    <xf numFmtId="0" fontId="5" fillId="3" borderId="595" xfId="2" applyFill="1" applyBorder="1" applyAlignment="1" applyProtection="1">
      <alignment horizontal="left" vertical="top" wrapText="1"/>
      <protection locked="0"/>
    </xf>
    <xf numFmtId="0" fontId="5" fillId="3" borderId="342" xfId="2" applyFill="1" applyBorder="1" applyAlignment="1" applyProtection="1">
      <alignment horizontal="left" vertical="top" wrapText="1"/>
      <protection locked="0"/>
    </xf>
    <xf numFmtId="0" fontId="5" fillId="3" borderId="399" xfId="2" applyFill="1" applyBorder="1" applyAlignment="1" applyProtection="1">
      <alignment horizontal="left" vertical="top" wrapText="1"/>
      <protection locked="0"/>
    </xf>
    <xf numFmtId="0" fontId="5" fillId="3" borderId="641" xfId="2" applyFill="1" applyBorder="1" applyAlignment="1" applyProtection="1">
      <alignment horizontal="left" vertical="top" wrapText="1"/>
      <protection locked="0"/>
    </xf>
    <xf numFmtId="0" fontId="5" fillId="3" borderId="0" xfId="2" applyFill="1" applyBorder="1" applyAlignment="1" applyProtection="1">
      <alignment horizontal="left" vertical="top" wrapText="1"/>
      <protection locked="0"/>
    </xf>
    <xf numFmtId="0" fontId="5" fillId="3" borderId="301" xfId="2" applyFill="1" applyBorder="1" applyAlignment="1" applyProtection="1">
      <alignment horizontal="left" vertical="top" wrapText="1"/>
      <protection locked="0"/>
    </xf>
    <xf numFmtId="0" fontId="5" fillId="3" borderId="516" xfId="2" applyFill="1" applyBorder="1" applyAlignment="1" applyProtection="1">
      <alignment horizontal="left" vertical="top" wrapText="1"/>
      <protection locked="0"/>
    </xf>
    <xf numFmtId="0" fontId="5" fillId="3" borderId="602" xfId="2" applyFill="1" applyBorder="1" applyAlignment="1" applyProtection="1">
      <alignment horizontal="left" vertical="top" wrapText="1"/>
      <protection locked="0"/>
    </xf>
    <xf numFmtId="0" fontId="5" fillId="3" borderId="710" xfId="2" applyFill="1" applyBorder="1" applyAlignment="1" applyProtection="1">
      <alignment horizontal="left" vertical="top" wrapText="1"/>
      <protection locked="0"/>
    </xf>
    <xf numFmtId="0" fontId="71" fillId="10" borderId="0" xfId="410" applyFont="1" applyFill="1" applyAlignment="1" applyProtection="1">
      <protection hidden="1"/>
    </xf>
    <xf numFmtId="0" fontId="71" fillId="2" borderId="0" xfId="424" applyFont="1" applyFill="1" applyAlignment="1" applyProtection="1">
      <alignment horizontal="right"/>
      <protection hidden="1"/>
    </xf>
    <xf numFmtId="0" fontId="13" fillId="2" borderId="0" xfId="2142" applyFont="1" applyFill="1" applyAlignment="1" applyProtection="1">
      <alignment horizontal="left"/>
      <protection hidden="1"/>
    </xf>
    <xf numFmtId="0" fontId="51" fillId="84" borderId="301" xfId="424" applyFont="1" applyFill="1" applyBorder="1" applyAlignment="1" applyProtection="1">
      <alignment horizontal="center" vertical="top" wrapText="1"/>
      <protection hidden="1"/>
    </xf>
    <xf numFmtId="0" fontId="26" fillId="4" borderId="571" xfId="411" applyFont="1" applyFill="1" applyBorder="1" applyAlignment="1" applyProtection="1">
      <alignment horizontal="center"/>
      <protection hidden="1"/>
    </xf>
    <xf numFmtId="0" fontId="26" fillId="4" borderId="572" xfId="411" applyFont="1" applyFill="1" applyBorder="1" applyAlignment="1" applyProtection="1">
      <alignment horizontal="center"/>
      <protection hidden="1"/>
    </xf>
    <xf numFmtId="2" fontId="204" fillId="4" borderId="605" xfId="429" applyNumberFormat="1" applyFont="1" applyFill="1" applyBorder="1" applyAlignment="1" applyProtection="1">
      <alignment horizontal="right" vertical="top"/>
      <protection hidden="1"/>
    </xf>
    <xf numFmtId="2" fontId="204" fillId="4" borderId="604" xfId="429" applyNumberFormat="1" applyFont="1" applyFill="1" applyBorder="1" applyAlignment="1" applyProtection="1">
      <alignment horizontal="right" vertical="top"/>
      <protection hidden="1"/>
    </xf>
    <xf numFmtId="2" fontId="204" fillId="4" borderId="606" xfId="429" applyNumberFormat="1" applyFont="1" applyFill="1" applyBorder="1" applyAlignment="1" applyProtection="1">
      <alignment horizontal="right" vertical="top"/>
      <protection hidden="1"/>
    </xf>
    <xf numFmtId="0" fontId="1" fillId="3" borderId="0" xfId="4" applyFont="1" applyFill="1" applyAlignment="1" applyProtection="1">
      <protection hidden="1"/>
    </xf>
    <xf numFmtId="0" fontId="1" fillId="3" borderId="0" xfId="411" applyFill="1" applyAlignment="1" applyProtection="1">
      <alignment horizontal="center" vertical="top"/>
      <protection hidden="1"/>
    </xf>
    <xf numFmtId="0" fontId="14" fillId="4" borderId="0" xfId="2" applyFont="1" applyFill="1" applyAlignment="1" applyProtection="1">
      <alignment horizontal="left" vertical="top" wrapText="1"/>
      <protection hidden="1"/>
    </xf>
    <xf numFmtId="164" fontId="1" fillId="2" borderId="0" xfId="411" applyNumberFormat="1" applyFill="1" applyAlignment="1" applyProtection="1">
      <alignment horizontal="left" vertical="top" wrapText="1"/>
      <protection hidden="1"/>
    </xf>
    <xf numFmtId="0" fontId="283" fillId="2" borderId="0" xfId="4" applyFont="1" applyFill="1" applyBorder="1" applyAlignment="1" applyProtection="1">
      <alignment horizontal="left" vertical="center"/>
      <protection hidden="1"/>
    </xf>
    <xf numFmtId="0" fontId="1" fillId="4" borderId="0" xfId="429" applyFont="1" applyFill="1" applyAlignment="1" applyProtection="1">
      <alignment horizontal="left" vertical="center" wrapText="1"/>
      <protection hidden="1"/>
    </xf>
    <xf numFmtId="0" fontId="1" fillId="3" borderId="0" xfId="411" applyFill="1" applyAlignment="1" applyProtection="1">
      <alignment horizontal="center" vertical="center"/>
      <protection hidden="1"/>
    </xf>
    <xf numFmtId="0" fontId="1" fillId="2" borderId="0" xfId="4" applyFont="1" applyFill="1" applyAlignment="1" applyProtection="1">
      <protection hidden="1"/>
    </xf>
    <xf numFmtId="0" fontId="1" fillId="2" borderId="0" xfId="411" applyFill="1" applyAlignment="1" applyProtection="1">
      <alignment horizontal="left"/>
      <protection hidden="1"/>
    </xf>
    <xf numFmtId="0" fontId="20" fillId="2" borderId="0" xfId="411" applyFont="1" applyFill="1" applyAlignment="1" applyProtection="1">
      <protection hidden="1"/>
    </xf>
    <xf numFmtId="0" fontId="9" fillId="2" borderId="0" xfId="424" applyFont="1" applyFill="1" applyAlignment="1" applyProtection="1">
      <alignment horizontal="left"/>
      <protection hidden="1"/>
    </xf>
    <xf numFmtId="0" fontId="1" fillId="5" borderId="574" xfId="424" applyFont="1" applyFill="1" applyBorder="1" applyAlignment="1" applyProtection="1">
      <alignment horizontal="center"/>
      <protection locked="0"/>
    </xf>
    <xf numFmtId="0" fontId="1" fillId="0" borderId="569" xfId="429" applyFont="1" applyBorder="1" applyProtection="1">
      <protection locked="0"/>
    </xf>
    <xf numFmtId="2" fontId="20" fillId="3" borderId="0" xfId="411" applyNumberFormat="1" applyFont="1" applyFill="1" applyAlignment="1" applyProtection="1">
      <alignment horizontal="left"/>
      <protection hidden="1"/>
    </xf>
    <xf numFmtId="0" fontId="1" fillId="0" borderId="628" xfId="429" applyFont="1" applyBorder="1" applyAlignment="1" applyProtection="1">
      <alignment horizontal="center"/>
      <protection hidden="1"/>
    </xf>
    <xf numFmtId="0" fontId="20" fillId="4" borderId="0" xfId="411" applyFont="1" applyFill="1" applyAlignment="1" applyProtection="1">
      <protection hidden="1"/>
    </xf>
    <xf numFmtId="0" fontId="204" fillId="2" borderId="630" xfId="4" applyFont="1" applyFill="1" applyBorder="1" applyAlignment="1" applyProtection="1">
      <alignment horizontal="left"/>
      <protection hidden="1"/>
    </xf>
    <xf numFmtId="0" fontId="204" fillId="2" borderId="631" xfId="4" applyFont="1" applyFill="1" applyBorder="1" applyAlignment="1" applyProtection="1">
      <alignment horizontal="left"/>
      <protection hidden="1"/>
    </xf>
    <xf numFmtId="0" fontId="204" fillId="2" borderId="632" xfId="4" applyFont="1" applyFill="1" applyBorder="1" applyAlignment="1" applyProtection="1">
      <alignment horizontal="left"/>
      <protection hidden="1"/>
    </xf>
    <xf numFmtId="0" fontId="1" fillId="2" borderId="0" xfId="429" applyFont="1" applyFill="1" applyAlignment="1" applyProtection="1">
      <alignment horizontal="left" vertical="top" wrapText="1" shrinkToFit="1"/>
      <protection hidden="1"/>
    </xf>
    <xf numFmtId="0" fontId="1" fillId="3" borderId="543" xfId="424" applyFont="1" applyFill="1" applyBorder="1" applyAlignment="1" applyProtection="1">
      <alignment horizontal="right"/>
      <protection hidden="1"/>
    </xf>
    <xf numFmtId="0" fontId="1" fillId="3" borderId="530" xfId="424" applyFont="1" applyFill="1" applyBorder="1" applyAlignment="1" applyProtection="1">
      <alignment horizontal="right"/>
      <protection hidden="1"/>
    </xf>
    <xf numFmtId="2" fontId="1" fillId="0" borderId="628" xfId="424" applyNumberFormat="1" applyFont="1" applyBorder="1" applyAlignment="1" applyProtection="1">
      <alignment horizontal="center" vertical="center"/>
      <protection hidden="1"/>
    </xf>
    <xf numFmtId="2" fontId="1" fillId="3" borderId="628" xfId="424" applyNumberFormat="1" applyFont="1" applyFill="1" applyBorder="1" applyAlignment="1" applyProtection="1">
      <alignment horizontal="center"/>
      <protection hidden="1"/>
    </xf>
    <xf numFmtId="0" fontId="20" fillId="4" borderId="0" xfId="429" applyFont="1" applyFill="1" applyAlignment="1" applyProtection="1">
      <alignment horizontal="left"/>
      <protection hidden="1"/>
    </xf>
    <xf numFmtId="0" fontId="1" fillId="2" borderId="574" xfId="424" applyFont="1" applyFill="1" applyBorder="1" applyAlignment="1" applyProtection="1">
      <alignment horizontal="center"/>
      <protection hidden="1"/>
    </xf>
    <xf numFmtId="0" fontId="1" fillId="4" borderId="569" xfId="429" applyFont="1" applyFill="1" applyBorder="1" applyProtection="1">
      <protection hidden="1"/>
    </xf>
    <xf numFmtId="0" fontId="1" fillId="4" borderId="0" xfId="288" applyFont="1" applyFill="1" applyAlignment="1" applyProtection="1">
      <alignment horizontal="left"/>
      <protection hidden="1"/>
    </xf>
    <xf numFmtId="0" fontId="1" fillId="0" borderId="0" xfId="429" applyFont="1" applyAlignment="1" applyProtection="1">
      <protection hidden="1"/>
    </xf>
    <xf numFmtId="0" fontId="20" fillId="2" borderId="0" xfId="429" applyFont="1" applyFill="1" applyAlignment="1" applyProtection="1">
      <alignment horizontal="left"/>
      <protection hidden="1"/>
    </xf>
    <xf numFmtId="0" fontId="204" fillId="0" borderId="0" xfId="0" applyFont="1" applyBorder="1" applyAlignment="1" applyProtection="1">
      <alignment horizontal="left" vertical="top" wrapText="1"/>
      <protection hidden="1"/>
    </xf>
    <xf numFmtId="0" fontId="204" fillId="0" borderId="0" xfId="0" applyFont="1" applyBorder="1" applyAlignment="1" applyProtection="1">
      <alignment horizontal="left" vertical="top"/>
      <protection hidden="1"/>
    </xf>
    <xf numFmtId="0" fontId="1" fillId="4" borderId="0" xfId="429" applyFont="1" applyFill="1" applyAlignment="1" applyProtection="1">
      <alignment horizontal="left"/>
      <protection hidden="1"/>
    </xf>
    <xf numFmtId="0" fontId="1" fillId="4" borderId="0" xfId="424" applyFont="1" applyFill="1" applyAlignment="1" applyProtection="1">
      <alignment horizontal="left"/>
      <protection hidden="1"/>
    </xf>
    <xf numFmtId="0" fontId="1" fillId="2" borderId="0" xfId="424" applyFont="1" applyFill="1" applyAlignment="1" applyProtection="1">
      <alignment horizontal="left"/>
      <protection hidden="1"/>
    </xf>
    <xf numFmtId="166" fontId="1" fillId="4" borderId="0" xfId="424" applyNumberFormat="1" applyFont="1" applyFill="1" applyAlignment="1" applyProtection="1">
      <alignment horizontal="left"/>
      <protection hidden="1"/>
    </xf>
    <xf numFmtId="0" fontId="1" fillId="0" borderId="628" xfId="429" applyFont="1" applyBorder="1" applyAlignment="1" applyProtection="1">
      <alignment horizontal="left"/>
      <protection hidden="1"/>
    </xf>
    <xf numFmtId="0" fontId="1" fillId="3" borderId="0" xfId="424" applyFont="1" applyFill="1" applyBorder="1" applyAlignment="1" applyProtection="1">
      <alignment vertical="center" wrapText="1"/>
      <protection hidden="1"/>
    </xf>
    <xf numFmtId="2" fontId="20" fillId="3" borderId="515" xfId="411" applyNumberFormat="1" applyFont="1" applyFill="1" applyBorder="1" applyAlignment="1" applyProtection="1">
      <alignment horizontal="center"/>
      <protection hidden="1"/>
    </xf>
    <xf numFmtId="0" fontId="1" fillId="3" borderId="0" xfId="424" applyFont="1" applyFill="1" applyBorder="1" applyAlignment="1" applyProtection="1">
      <alignment horizontal="left" wrapText="1"/>
      <protection hidden="1"/>
    </xf>
    <xf numFmtId="0" fontId="222" fillId="4" borderId="0" xfId="429" applyFont="1" applyFill="1" applyBorder="1" applyAlignment="1" applyProtection="1">
      <alignment horizontal="left" vertical="top" wrapText="1"/>
      <protection hidden="1"/>
    </xf>
    <xf numFmtId="0" fontId="1" fillId="46" borderId="628" xfId="429" applyFont="1" applyFill="1" applyBorder="1" applyAlignment="1" applyProtection="1">
      <alignment horizontal="left"/>
      <protection hidden="1"/>
    </xf>
    <xf numFmtId="0" fontId="222" fillId="4" borderId="628" xfId="429" applyFont="1" applyFill="1" applyBorder="1" applyAlignment="1" applyProtection="1">
      <alignment horizontal="left"/>
      <protection hidden="1"/>
    </xf>
    <xf numFmtId="0" fontId="220" fillId="4" borderId="0" xfId="429" applyFont="1" applyFill="1" applyBorder="1" applyAlignment="1" applyProtection="1">
      <alignment horizontal="left"/>
      <protection hidden="1"/>
    </xf>
    <xf numFmtId="0" fontId="1" fillId="46" borderId="628" xfId="429" applyFill="1" applyBorder="1" applyAlignment="1" applyProtection="1">
      <alignment horizontal="left"/>
      <protection hidden="1"/>
    </xf>
    <xf numFmtId="0" fontId="1" fillId="4" borderId="630" xfId="424" applyFont="1" applyFill="1" applyBorder="1" applyAlignment="1" applyProtection="1">
      <alignment horizontal="center"/>
      <protection hidden="1"/>
    </xf>
    <xf numFmtId="0" fontId="44" fillId="4" borderId="630" xfId="429" applyFont="1" applyFill="1" applyBorder="1" applyAlignment="1" applyProtection="1">
      <alignment horizontal="left"/>
      <protection hidden="1"/>
    </xf>
    <xf numFmtId="0" fontId="44" fillId="4" borderId="632" xfId="429" applyFont="1" applyFill="1" applyBorder="1" applyAlignment="1" applyProtection="1">
      <alignment horizontal="left"/>
      <protection hidden="1"/>
    </xf>
    <xf numFmtId="0" fontId="136" fillId="0" borderId="570" xfId="4" applyFont="1" applyBorder="1" applyAlignment="1" applyProtection="1">
      <alignment horizontal="right"/>
      <protection hidden="1"/>
    </xf>
    <xf numFmtId="0" fontId="1" fillId="2" borderId="630" xfId="411" applyFont="1" applyFill="1" applyBorder="1" applyAlignment="1" applyProtection="1">
      <alignment horizontal="left" vertical="top"/>
      <protection hidden="1"/>
    </xf>
    <xf numFmtId="0" fontId="1" fillId="2" borderId="632" xfId="411" applyFont="1" applyFill="1" applyBorder="1" applyAlignment="1" applyProtection="1">
      <alignment horizontal="left" vertical="top"/>
      <protection hidden="1"/>
    </xf>
    <xf numFmtId="164" fontId="1" fillId="3" borderId="574" xfId="411" applyNumberFormat="1" applyFill="1" applyBorder="1" applyAlignment="1" applyProtection="1">
      <alignment horizontal="right"/>
      <protection hidden="1"/>
    </xf>
    <xf numFmtId="0" fontId="0" fillId="0" borderId="569" xfId="0" applyBorder="1" applyProtection="1">
      <protection hidden="1"/>
    </xf>
    <xf numFmtId="0" fontId="222" fillId="4" borderId="656" xfId="429" applyFont="1" applyFill="1" applyBorder="1" applyAlignment="1" applyProtection="1">
      <alignment horizontal="left"/>
      <protection hidden="1"/>
    </xf>
    <xf numFmtId="166" fontId="294" fillId="3" borderId="537" xfId="411" applyNumberFormat="1" applyFont="1" applyFill="1" applyBorder="1" applyAlignment="1" applyProtection="1">
      <alignment horizontal="center" vertical="center" wrapText="1"/>
      <protection hidden="1"/>
    </xf>
    <xf numFmtId="2" fontId="300" fillId="3" borderId="537" xfId="2142" applyNumberFormat="1" applyFont="1" applyFill="1" applyBorder="1" applyAlignment="1" applyProtection="1">
      <alignment horizontal="center" vertical="center" wrapText="1"/>
      <protection hidden="1"/>
    </xf>
    <xf numFmtId="1" fontId="136" fillId="3" borderId="469" xfId="411" applyNumberFormat="1" applyFont="1" applyFill="1" applyBorder="1" applyAlignment="1" applyProtection="1">
      <alignment horizontal="center"/>
      <protection hidden="1"/>
    </xf>
    <xf numFmtId="0" fontId="220" fillId="3" borderId="0" xfId="411" applyFont="1" applyFill="1" applyAlignment="1" applyProtection="1">
      <protection hidden="1"/>
    </xf>
    <xf numFmtId="164" fontId="318" fillId="3" borderId="628" xfId="411" applyNumberFormat="1" applyFont="1" applyFill="1" applyBorder="1" applyAlignment="1" applyProtection="1">
      <alignment horizontal="right"/>
      <protection hidden="1"/>
    </xf>
    <xf numFmtId="0" fontId="136" fillId="3" borderId="628" xfId="4" applyFont="1" applyFill="1" applyBorder="1" applyAlignment="1" applyProtection="1">
      <alignment horizontal="right"/>
      <protection hidden="1"/>
    </xf>
    <xf numFmtId="0" fontId="1" fillId="0" borderId="628" xfId="424" applyFont="1" applyBorder="1" applyAlignment="1" applyProtection="1">
      <alignment horizontal="left"/>
      <protection hidden="1"/>
    </xf>
    <xf numFmtId="0" fontId="1" fillId="2" borderId="655" xfId="411" applyFont="1" applyFill="1" applyBorder="1" applyAlignment="1" applyProtection="1">
      <alignment horizontal="left" vertical="top"/>
      <protection hidden="1"/>
    </xf>
    <xf numFmtId="0" fontId="1" fillId="2" borderId="654" xfId="411" applyFont="1" applyFill="1" applyBorder="1" applyAlignment="1" applyProtection="1">
      <alignment horizontal="left" vertical="top"/>
      <protection hidden="1"/>
    </xf>
    <xf numFmtId="164" fontId="1" fillId="3" borderId="655" xfId="411" applyNumberFormat="1" applyFill="1" applyBorder="1" applyAlignment="1" applyProtection="1">
      <alignment horizontal="right"/>
      <protection hidden="1"/>
    </xf>
    <xf numFmtId="0" fontId="0" fillId="0" borderId="654" xfId="0" applyBorder="1" applyAlignment="1" applyProtection="1">
      <alignment horizontal="right"/>
      <protection hidden="1"/>
    </xf>
    <xf numFmtId="166" fontId="294" fillId="3" borderId="595" xfId="411" applyNumberFormat="1" applyFont="1" applyFill="1" applyBorder="1" applyAlignment="1" applyProtection="1">
      <alignment horizontal="center" vertical="center" wrapText="1"/>
      <protection hidden="1"/>
    </xf>
    <xf numFmtId="166" fontId="294" fillId="3" borderId="526" xfId="411" applyNumberFormat="1" applyFont="1" applyFill="1" applyBorder="1" applyAlignment="1" applyProtection="1">
      <alignment horizontal="center" vertical="center" wrapText="1"/>
      <protection hidden="1"/>
    </xf>
    <xf numFmtId="166" fontId="294" fillId="3" borderId="641" xfId="411" applyNumberFormat="1" applyFont="1" applyFill="1" applyBorder="1" applyAlignment="1" applyProtection="1">
      <alignment horizontal="center" vertical="center" wrapText="1"/>
      <protection hidden="1"/>
    </xf>
    <xf numFmtId="166" fontId="294" fillId="3" borderId="301" xfId="411" applyNumberFormat="1" applyFont="1" applyFill="1" applyBorder="1" applyAlignment="1" applyProtection="1">
      <alignment horizontal="center" vertical="center" wrapText="1"/>
      <protection hidden="1"/>
    </xf>
    <xf numFmtId="2" fontId="300" fillId="3" borderId="656" xfId="2142" applyNumberFormat="1" applyFont="1" applyFill="1" applyBorder="1" applyAlignment="1" applyProtection="1">
      <alignment horizontal="center" vertical="center" wrapText="1"/>
      <protection hidden="1"/>
    </xf>
    <xf numFmtId="0" fontId="258" fillId="4" borderId="515" xfId="429" applyFont="1" applyFill="1" applyBorder="1" applyAlignment="1" applyProtection="1">
      <alignment horizontal="left"/>
      <protection hidden="1"/>
    </xf>
    <xf numFmtId="0" fontId="1" fillId="4" borderId="640" xfId="429" applyFont="1" applyFill="1" applyBorder="1" applyAlignment="1" applyProtection="1">
      <alignment horizontal="left"/>
      <protection hidden="1"/>
    </xf>
    <xf numFmtId="0" fontId="20" fillId="4" borderId="515" xfId="424" applyFont="1" applyFill="1" applyBorder="1" applyAlignment="1" applyProtection="1">
      <alignment horizontal="left"/>
      <protection hidden="1"/>
    </xf>
    <xf numFmtId="164" fontId="318" fillId="3" borderId="570" xfId="411" applyNumberFormat="1" applyFont="1" applyFill="1" applyBorder="1" applyAlignment="1" applyProtection="1">
      <alignment horizontal="right"/>
      <protection hidden="1"/>
    </xf>
    <xf numFmtId="0" fontId="258" fillId="46" borderId="628" xfId="429" applyFont="1" applyFill="1" applyBorder="1" applyAlignment="1" applyProtection="1">
      <alignment horizontal="left"/>
      <protection hidden="1"/>
    </xf>
    <xf numFmtId="0" fontId="20" fillId="0" borderId="628" xfId="429" applyFont="1" applyBorder="1" applyAlignment="1" applyProtection="1">
      <alignment horizontal="left"/>
      <protection hidden="1"/>
    </xf>
    <xf numFmtId="14" fontId="2" fillId="4" borderId="0" xfId="424" applyNumberFormat="1" applyFont="1" applyFill="1" applyAlignment="1" applyProtection="1">
      <alignment horizontal="left"/>
      <protection hidden="1"/>
    </xf>
    <xf numFmtId="166" fontId="6" fillId="4" borderId="0" xfId="411" applyNumberFormat="1" applyFont="1" applyFill="1" applyAlignment="1" applyProtection="1">
      <protection hidden="1"/>
    </xf>
    <xf numFmtId="0" fontId="13" fillId="4" borderId="0" xfId="2142" applyFont="1" applyFill="1" applyAlignment="1" applyProtection="1">
      <alignment horizontal="right"/>
      <protection hidden="1"/>
    </xf>
    <xf numFmtId="0" fontId="219" fillId="4" borderId="0" xfId="424" applyFont="1" applyFill="1" applyBorder="1" applyAlignment="1" applyProtection="1">
      <alignment horizontal="center" vertical="center" wrapText="1"/>
      <protection hidden="1"/>
    </xf>
    <xf numFmtId="0" fontId="1" fillId="4" borderId="0" xfId="429" applyFont="1" applyFill="1" applyAlignment="1" applyProtection="1">
      <alignment horizontal="right"/>
      <protection hidden="1"/>
    </xf>
    <xf numFmtId="0" fontId="2" fillId="4" borderId="0" xfId="429" applyFont="1" applyFill="1" applyAlignment="1" applyProtection="1">
      <alignment horizontal="right"/>
      <protection hidden="1"/>
    </xf>
    <xf numFmtId="0" fontId="1" fillId="2" borderId="640" xfId="424" applyFont="1" applyFill="1" applyBorder="1" applyAlignment="1" applyProtection="1">
      <alignment horizontal="left"/>
      <protection hidden="1"/>
    </xf>
    <xf numFmtId="1" fontId="136" fillId="3" borderId="570" xfId="411" applyNumberFormat="1" applyFont="1" applyFill="1" applyBorder="1" applyAlignment="1" applyProtection="1">
      <alignment horizontal="right"/>
      <protection hidden="1"/>
    </xf>
    <xf numFmtId="0" fontId="222" fillId="4" borderId="640" xfId="429" applyFont="1" applyFill="1" applyBorder="1" applyAlignment="1" applyProtection="1">
      <alignment horizontal="left"/>
      <protection hidden="1"/>
    </xf>
    <xf numFmtId="0" fontId="222" fillId="4" borderId="515" xfId="429" applyFont="1" applyFill="1" applyBorder="1" applyAlignment="1" applyProtection="1">
      <alignment horizontal="left"/>
      <protection hidden="1"/>
    </xf>
    <xf numFmtId="0" fontId="1" fillId="4" borderId="656" xfId="424" applyFont="1" applyFill="1" applyBorder="1" applyAlignment="1" applyProtection="1">
      <alignment horizontal="left"/>
      <protection hidden="1"/>
    </xf>
    <xf numFmtId="0" fontId="1" fillId="3" borderId="0" xfId="424" applyFont="1" applyFill="1" applyAlignment="1" applyProtection="1">
      <alignment horizontal="left"/>
      <protection hidden="1"/>
    </xf>
    <xf numFmtId="0" fontId="20" fillId="2" borderId="602" xfId="288" applyFont="1" applyFill="1" applyBorder="1" applyAlignment="1" applyProtection="1">
      <alignment horizontal="center"/>
      <protection hidden="1"/>
    </xf>
    <xf numFmtId="0" fontId="1" fillId="2" borderId="579" xfId="411" applyFill="1" applyBorder="1" applyAlignment="1" applyProtection="1">
      <alignment horizontal="left" wrapText="1"/>
      <protection hidden="1"/>
    </xf>
    <xf numFmtId="0" fontId="1" fillId="2" borderId="0" xfId="411" applyFill="1" applyBorder="1" applyAlignment="1" applyProtection="1">
      <alignment horizontal="left" wrapText="1"/>
      <protection hidden="1"/>
    </xf>
    <xf numFmtId="0" fontId="20" fillId="2" borderId="466" xfId="411" applyFont="1" applyFill="1" applyBorder="1" applyAlignment="1" applyProtection="1">
      <alignment horizontal="center" vertical="center" wrapText="1"/>
      <protection hidden="1"/>
    </xf>
    <xf numFmtId="0" fontId="20" fillId="2" borderId="302" xfId="411" applyFont="1" applyFill="1" applyBorder="1" applyAlignment="1" applyProtection="1">
      <alignment horizontal="center" vertical="center" wrapText="1"/>
      <protection hidden="1"/>
    </xf>
    <xf numFmtId="170" fontId="20" fillId="2" borderId="656" xfId="411" applyNumberFormat="1" applyFont="1" applyFill="1" applyBorder="1" applyAlignment="1" applyProtection="1">
      <alignment horizontal="center" vertical="center" wrapText="1"/>
      <protection hidden="1"/>
    </xf>
    <xf numFmtId="164" fontId="1" fillId="3" borderId="574" xfId="411" applyNumberFormat="1" applyFill="1" applyBorder="1" applyAlignment="1" applyProtection="1">
      <protection hidden="1"/>
    </xf>
    <xf numFmtId="0" fontId="48" fillId="3" borderId="0" xfId="1" applyFont="1" applyFill="1" applyAlignment="1" applyProtection="1">
      <alignment horizontal="center"/>
      <protection hidden="1"/>
    </xf>
    <xf numFmtId="0" fontId="10" fillId="0" borderId="641" xfId="2" applyFont="1" applyBorder="1" applyAlignment="1" applyProtection="1">
      <alignment horizontal="left" vertical="top" wrapText="1"/>
      <protection hidden="1"/>
    </xf>
    <xf numFmtId="0" fontId="10" fillId="0" borderId="0" xfId="2" applyFont="1" applyBorder="1" applyAlignment="1" applyProtection="1">
      <alignment horizontal="left" vertical="top" wrapText="1"/>
      <protection hidden="1"/>
    </xf>
    <xf numFmtId="0" fontId="220" fillId="73" borderId="85" xfId="1" applyFont="1" applyFill="1" applyBorder="1" applyAlignment="1" applyProtection="1">
      <alignment horizontal="left" wrapText="1"/>
      <protection hidden="1"/>
    </xf>
    <xf numFmtId="0" fontId="70" fillId="3" borderId="0" xfId="2" applyFont="1" applyFill="1" applyAlignment="1" applyProtection="1">
      <alignment horizontal="center" wrapText="1"/>
      <protection hidden="1"/>
    </xf>
    <xf numFmtId="0" fontId="1" fillId="3" borderId="0" xfId="1" applyFill="1" applyAlignment="1" applyProtection="1">
      <alignment horizontal="left" wrapText="1"/>
      <protection hidden="1"/>
    </xf>
    <xf numFmtId="0" fontId="1" fillId="3" borderId="0" xfId="1" applyFill="1" applyAlignment="1" applyProtection="1">
      <alignment horizontal="left"/>
      <protection hidden="1"/>
    </xf>
    <xf numFmtId="0" fontId="1" fillId="2" borderId="0" xfId="1" applyFill="1" applyAlignment="1" applyProtection="1">
      <alignment horizontal="left"/>
      <protection hidden="1"/>
    </xf>
    <xf numFmtId="0" fontId="220" fillId="5" borderId="85" xfId="1" applyFont="1" applyFill="1" applyBorder="1" applyAlignment="1" applyProtection="1">
      <alignment horizontal="left"/>
      <protection locked="0"/>
    </xf>
    <xf numFmtId="0" fontId="44" fillId="3" borderId="85" xfId="1" applyFont="1" applyFill="1" applyBorder="1" applyAlignment="1" applyProtection="1">
      <alignment horizontal="right"/>
      <protection hidden="1"/>
    </xf>
    <xf numFmtId="0" fontId="220" fillId="5" borderId="85" xfId="1" applyFont="1" applyFill="1" applyBorder="1" applyAlignment="1" applyProtection="1">
      <alignment horizontal="left" wrapText="1"/>
      <protection locked="0"/>
    </xf>
    <xf numFmtId="0" fontId="220" fillId="5" borderId="85" xfId="1" applyFont="1" applyFill="1" applyBorder="1" applyAlignment="1" applyProtection="1">
      <alignment horizontal="left" vertical="center"/>
      <protection locked="0"/>
    </xf>
    <xf numFmtId="0" fontId="220" fillId="5" borderId="85" xfId="1" applyFont="1" applyFill="1" applyBorder="1" applyAlignment="1" applyProtection="1">
      <alignment horizontal="left" vertical="center" wrapText="1"/>
      <protection locked="0"/>
    </xf>
    <xf numFmtId="0" fontId="136" fillId="0" borderId="85" xfId="1" applyFont="1" applyBorder="1" applyAlignment="1" applyProtection="1">
      <alignment horizontal="left"/>
      <protection hidden="1"/>
    </xf>
    <xf numFmtId="0" fontId="5" fillId="3" borderId="0" xfId="1" applyFont="1" applyFill="1" applyAlignment="1" applyProtection="1">
      <alignment horizontal="left" wrapText="1"/>
      <protection hidden="1"/>
    </xf>
    <xf numFmtId="0" fontId="220" fillId="0" borderId="85" xfId="1" applyFont="1" applyBorder="1" applyAlignment="1" applyProtection="1">
      <alignment horizontal="left"/>
      <protection hidden="1"/>
    </xf>
    <xf numFmtId="0" fontId="32" fillId="3" borderId="0" xfId="2" applyFont="1" applyFill="1" applyBorder="1" applyAlignment="1" applyProtection="1">
      <alignment horizontal="left" vertical="center"/>
      <protection hidden="1"/>
    </xf>
    <xf numFmtId="0" fontId="5" fillId="3" borderId="0" xfId="1" applyFont="1" applyFill="1" applyBorder="1" applyAlignment="1" applyProtection="1">
      <alignment horizontal="center" vertical="center"/>
      <protection hidden="1"/>
    </xf>
    <xf numFmtId="0" fontId="220" fillId="10" borderId="85" xfId="2" applyFont="1" applyFill="1" applyBorder="1" applyAlignment="1" applyProtection="1">
      <alignment horizontal="left"/>
      <protection hidden="1"/>
    </xf>
    <xf numFmtId="0" fontId="241" fillId="3" borderId="0" xfId="1" applyFont="1" applyFill="1" applyAlignment="1" applyProtection="1">
      <alignment horizontal="center" vertical="top"/>
      <protection hidden="1"/>
    </xf>
    <xf numFmtId="0" fontId="10" fillId="3" borderId="466" xfId="1" applyFont="1" applyFill="1" applyBorder="1" applyAlignment="1" applyProtection="1">
      <alignment horizontal="left" wrapText="1"/>
      <protection hidden="1"/>
    </xf>
    <xf numFmtId="0" fontId="10" fillId="3" borderId="178" xfId="1" applyFont="1" applyFill="1" applyBorder="1" applyAlignment="1" applyProtection="1">
      <alignment horizontal="left" wrapText="1"/>
      <protection hidden="1"/>
    </xf>
    <xf numFmtId="0" fontId="10" fillId="3" borderId="343" xfId="1" applyFont="1" applyFill="1" applyBorder="1" applyAlignment="1" applyProtection="1">
      <alignment horizontal="left" wrapText="1"/>
      <protection hidden="1"/>
    </xf>
    <xf numFmtId="0" fontId="10" fillId="3" borderId="302" xfId="1" applyFont="1" applyFill="1" applyBorder="1" applyAlignment="1" applyProtection="1">
      <alignment horizontal="left" wrapText="1"/>
      <protection hidden="1"/>
    </xf>
    <xf numFmtId="0" fontId="10" fillId="3" borderId="0" xfId="1" applyFont="1" applyFill="1" applyBorder="1" applyAlignment="1" applyProtection="1">
      <alignment horizontal="left" wrapText="1"/>
      <protection hidden="1"/>
    </xf>
    <xf numFmtId="0" fontId="10" fillId="3" borderId="301" xfId="1" applyFont="1" applyFill="1" applyBorder="1" applyAlignment="1" applyProtection="1">
      <alignment horizontal="left" wrapText="1"/>
      <protection hidden="1"/>
    </xf>
    <xf numFmtId="0" fontId="10" fillId="3" borderId="641" xfId="1" applyFont="1" applyFill="1" applyBorder="1" applyAlignment="1" applyProtection="1">
      <alignment horizontal="left" wrapText="1"/>
      <protection hidden="1"/>
    </xf>
    <xf numFmtId="0" fontId="10" fillId="3" borderId="446" xfId="1" applyFont="1" applyFill="1" applyBorder="1" applyAlignment="1" applyProtection="1">
      <alignment horizontal="left" wrapText="1"/>
      <protection hidden="1"/>
    </xf>
    <xf numFmtId="0" fontId="10" fillId="3" borderId="382" xfId="1" applyFont="1" applyFill="1" applyBorder="1" applyAlignment="1" applyProtection="1">
      <alignment horizontal="left" wrapText="1"/>
      <protection hidden="1"/>
    </xf>
    <xf numFmtId="0" fontId="10" fillId="3" borderId="472" xfId="1" applyFont="1" applyFill="1" applyBorder="1" applyAlignment="1" applyProtection="1">
      <alignment horizontal="left" wrapText="1"/>
      <protection hidden="1"/>
    </xf>
    <xf numFmtId="0" fontId="10" fillId="3" borderId="466" xfId="1" applyFont="1" applyFill="1" applyBorder="1" applyAlignment="1" applyProtection="1">
      <alignment horizontal="left" vertical="top" wrapText="1"/>
      <protection hidden="1"/>
    </xf>
    <xf numFmtId="0" fontId="10" fillId="3" borderId="178" xfId="1" applyFont="1" applyFill="1" applyBorder="1" applyAlignment="1" applyProtection="1">
      <alignment horizontal="left" vertical="top" wrapText="1"/>
      <protection hidden="1"/>
    </xf>
    <xf numFmtId="0" fontId="10" fillId="3" borderId="343" xfId="1" applyFont="1" applyFill="1" applyBorder="1" applyAlignment="1" applyProtection="1">
      <alignment horizontal="left" vertical="top" wrapText="1"/>
      <protection hidden="1"/>
    </xf>
    <xf numFmtId="0" fontId="10" fillId="3" borderId="302" xfId="1" applyFont="1" applyFill="1" applyBorder="1" applyAlignment="1" applyProtection="1">
      <alignment horizontal="left" vertical="top" wrapText="1"/>
      <protection hidden="1"/>
    </xf>
    <xf numFmtId="0" fontId="10" fillId="3" borderId="0" xfId="1" applyFont="1" applyFill="1" applyBorder="1" applyAlignment="1" applyProtection="1">
      <alignment horizontal="left" vertical="top" wrapText="1"/>
      <protection hidden="1"/>
    </xf>
    <xf numFmtId="0" fontId="10" fillId="3" borderId="301" xfId="1" applyFont="1" applyFill="1" applyBorder="1" applyAlignment="1" applyProtection="1">
      <alignment horizontal="left" vertical="top" wrapText="1"/>
      <protection hidden="1"/>
    </xf>
    <xf numFmtId="0" fontId="1" fillId="3" borderId="301" xfId="1" applyFont="1" applyFill="1" applyBorder="1" applyAlignment="1" applyProtection="1">
      <alignment horizontal="center"/>
      <protection hidden="1"/>
    </xf>
    <xf numFmtId="0" fontId="12" fillId="4" borderId="0" xfId="3" applyFont="1" applyFill="1" applyAlignment="1" applyProtection="1">
      <alignment horizontal="left"/>
      <protection hidden="1"/>
    </xf>
    <xf numFmtId="0" fontId="66" fillId="2" borderId="0" xfId="411" applyFont="1" applyFill="1" applyAlignment="1" applyProtection="1">
      <alignment horizontal="left"/>
      <protection hidden="1"/>
    </xf>
    <xf numFmtId="0" fontId="1" fillId="2" borderId="409" xfId="2" applyFont="1" applyFill="1" applyBorder="1" applyAlignment="1" applyProtection="1">
      <alignment horizontal="left" vertical="top"/>
      <protection locked="0"/>
    </xf>
    <xf numFmtId="0" fontId="1" fillId="2" borderId="178" xfId="2" applyFont="1" applyFill="1" applyBorder="1" applyAlignment="1" applyProtection="1">
      <alignment horizontal="left" vertical="top"/>
      <protection locked="0"/>
    </xf>
    <xf numFmtId="0" fontId="1" fillId="2" borderId="399" xfId="2" applyFont="1" applyFill="1" applyBorder="1" applyAlignment="1" applyProtection="1">
      <alignment horizontal="left" vertical="top"/>
      <protection locked="0"/>
    </xf>
    <xf numFmtId="0" fontId="1" fillId="2" borderId="148" xfId="2" applyFont="1" applyFill="1" applyBorder="1" applyAlignment="1" applyProtection="1">
      <alignment horizontal="left" vertical="top"/>
      <protection locked="0"/>
    </xf>
    <xf numFmtId="0" fontId="1" fillId="2" borderId="0" xfId="2" applyFont="1" applyFill="1" applyBorder="1" applyAlignment="1" applyProtection="1">
      <alignment horizontal="left" vertical="top"/>
      <protection locked="0"/>
    </xf>
    <xf numFmtId="0" fontId="1" fillId="2" borderId="301" xfId="2" applyFont="1" applyFill="1" applyBorder="1" applyAlignment="1" applyProtection="1">
      <alignment horizontal="left" vertical="top"/>
      <protection locked="0"/>
    </xf>
    <xf numFmtId="0" fontId="1" fillId="2" borderId="446" xfId="2" applyFont="1" applyFill="1" applyBorder="1" applyAlignment="1" applyProtection="1">
      <alignment horizontal="left" vertical="top"/>
      <protection locked="0"/>
    </xf>
    <xf numFmtId="0" fontId="1" fillId="2" borderId="382" xfId="2" applyFont="1" applyFill="1" applyBorder="1" applyAlignment="1" applyProtection="1">
      <alignment horizontal="left" vertical="top"/>
      <protection locked="0"/>
    </xf>
    <xf numFmtId="0" fontId="1" fillId="2" borderId="381" xfId="2" applyFont="1" applyFill="1" applyBorder="1" applyAlignment="1" applyProtection="1">
      <alignment horizontal="left" vertical="top"/>
      <protection locked="0"/>
    </xf>
    <xf numFmtId="0" fontId="10" fillId="0" borderId="450" xfId="413" applyFont="1" applyBorder="1" applyAlignment="1" applyProtection="1">
      <alignment horizontal="left" vertical="center"/>
      <protection hidden="1"/>
    </xf>
    <xf numFmtId="0" fontId="10" fillId="0" borderId="453" xfId="413" applyFont="1" applyBorder="1" applyAlignment="1" applyProtection="1">
      <alignment horizontal="left" vertical="center"/>
      <protection hidden="1"/>
    </xf>
    <xf numFmtId="0" fontId="10" fillId="0" borderId="451" xfId="413" applyFont="1" applyBorder="1" applyAlignment="1" applyProtection="1">
      <alignment horizontal="left" vertical="center"/>
      <protection hidden="1"/>
    </xf>
    <xf numFmtId="0" fontId="10" fillId="0" borderId="454" xfId="413" applyFont="1" applyBorder="1" applyAlignment="1" applyProtection="1">
      <alignment horizontal="left" vertical="center"/>
      <protection hidden="1"/>
    </xf>
    <xf numFmtId="0" fontId="293" fillId="2" borderId="0" xfId="413" applyFont="1" applyFill="1" applyBorder="1" applyAlignment="1" applyProtection="1">
      <alignment horizontal="center"/>
    </xf>
    <xf numFmtId="0" fontId="10" fillId="2" borderId="0" xfId="413" applyFont="1" applyFill="1" applyAlignment="1" applyProtection="1">
      <alignment horizontal="center" vertical="top"/>
      <protection hidden="1"/>
    </xf>
    <xf numFmtId="0" fontId="273" fillId="2" borderId="0" xfId="2" applyFont="1" applyFill="1" applyAlignment="1" applyProtection="1">
      <alignment horizontal="left" wrapText="1"/>
      <protection hidden="1"/>
    </xf>
    <xf numFmtId="0" fontId="216" fillId="2" borderId="0" xfId="2" applyFont="1" applyFill="1" applyAlignment="1" applyProtection="1">
      <alignment horizontal="left" vertical="center" wrapText="1"/>
      <protection hidden="1"/>
    </xf>
    <xf numFmtId="0" fontId="274" fillId="2" borderId="0" xfId="413" applyFont="1" applyFill="1" applyAlignment="1" applyProtection="1">
      <alignment horizontal="center" vertical="top"/>
      <protection hidden="1"/>
    </xf>
    <xf numFmtId="0" fontId="10" fillId="2" borderId="0" xfId="2" applyFont="1" applyFill="1" applyAlignment="1" applyProtection="1">
      <alignment horizontal="right"/>
      <protection hidden="1"/>
    </xf>
    <xf numFmtId="0" fontId="143" fillId="2" borderId="0" xfId="413" applyFont="1" applyFill="1" applyAlignment="1" applyProtection="1">
      <alignment horizontal="center" wrapText="1"/>
      <protection hidden="1"/>
    </xf>
    <xf numFmtId="0" fontId="10" fillId="0" borderId="449" xfId="413" applyFont="1" applyBorder="1" applyAlignment="1" applyProtection="1">
      <alignment horizontal="center" vertical="center"/>
      <protection hidden="1"/>
    </xf>
    <xf numFmtId="0" fontId="10" fillId="0" borderId="450" xfId="413" applyFont="1" applyBorder="1" applyAlignment="1" applyProtection="1">
      <alignment horizontal="center" vertical="center"/>
      <protection hidden="1"/>
    </xf>
    <xf numFmtId="0" fontId="10" fillId="0" borderId="451" xfId="413" applyFont="1" applyBorder="1" applyAlignment="1" applyProtection="1">
      <alignment horizontal="center" vertical="center"/>
      <protection hidden="1"/>
    </xf>
    <xf numFmtId="0" fontId="10" fillId="0" borderId="452" xfId="413" applyFont="1" applyBorder="1" applyAlignment="1" applyProtection="1">
      <alignment horizontal="center" vertical="center"/>
      <protection hidden="1"/>
    </xf>
    <xf numFmtId="0" fontId="10" fillId="0" borderId="453" xfId="413" applyFont="1" applyBorder="1" applyAlignment="1" applyProtection="1">
      <alignment horizontal="center" vertical="center"/>
      <protection hidden="1"/>
    </xf>
    <xf numFmtId="0" fontId="10" fillId="0" borderId="454" xfId="413" applyFont="1" applyBorder="1" applyAlignment="1" applyProtection="1">
      <alignment horizontal="center" vertical="center"/>
      <protection hidden="1"/>
    </xf>
    <xf numFmtId="0" fontId="10" fillId="0" borderId="0" xfId="413" applyFont="1" applyBorder="1" applyAlignment="1" applyProtection="1">
      <alignment horizontal="left" vertical="center"/>
      <protection hidden="1"/>
    </xf>
    <xf numFmtId="0" fontId="10" fillId="0" borderId="382" xfId="413" applyFont="1" applyBorder="1" applyAlignment="1" applyProtection="1">
      <alignment horizontal="left" vertical="center"/>
      <protection hidden="1"/>
    </xf>
    <xf numFmtId="0" fontId="10" fillId="0" borderId="301" xfId="413" applyFont="1" applyBorder="1" applyAlignment="1" applyProtection="1">
      <alignment horizontal="left" vertical="center"/>
      <protection hidden="1"/>
    </xf>
    <xf numFmtId="0" fontId="10" fillId="0" borderId="381" xfId="413" applyFont="1" applyBorder="1" applyAlignment="1" applyProtection="1">
      <alignment horizontal="left" vertical="center"/>
      <protection hidden="1"/>
    </xf>
    <xf numFmtId="0" fontId="10" fillId="0" borderId="148" xfId="413" applyFont="1" applyBorder="1" applyAlignment="1" applyProtection="1">
      <alignment horizontal="center" vertical="center"/>
      <protection hidden="1"/>
    </xf>
    <xf numFmtId="0" fontId="10" fillId="0" borderId="0" xfId="413" applyFont="1" applyBorder="1" applyAlignment="1" applyProtection="1">
      <alignment horizontal="center" vertical="center"/>
      <protection hidden="1"/>
    </xf>
    <xf numFmtId="0" fontId="10" fillId="0" borderId="301" xfId="413" applyFont="1" applyBorder="1" applyAlignment="1" applyProtection="1">
      <alignment horizontal="center" vertical="center"/>
      <protection hidden="1"/>
    </xf>
    <xf numFmtId="0" fontId="10" fillId="0" borderId="446" xfId="413" applyFont="1" applyBorder="1" applyAlignment="1" applyProtection="1">
      <alignment horizontal="center" vertical="center"/>
      <protection hidden="1"/>
    </xf>
    <xf numFmtId="0" fontId="10" fillId="0" borderId="382" xfId="413" applyFont="1" applyBorder="1" applyAlignment="1" applyProtection="1">
      <alignment horizontal="center" vertical="center"/>
      <protection hidden="1"/>
    </xf>
    <xf numFmtId="0" fontId="10" fillId="0" borderId="381" xfId="413" applyFont="1" applyBorder="1" applyAlignment="1" applyProtection="1">
      <alignment horizontal="center" vertical="center"/>
      <protection hidden="1"/>
    </xf>
    <xf numFmtId="0" fontId="7" fillId="4" borderId="0" xfId="413" applyFont="1" applyFill="1" applyAlignment="1" applyProtection="1">
      <alignment horizontal="center"/>
      <protection hidden="1"/>
    </xf>
    <xf numFmtId="0" fontId="1" fillId="4" borderId="0" xfId="413" applyFont="1" applyFill="1" applyBorder="1" applyAlignment="1" applyProtection="1">
      <alignment horizontal="center"/>
      <protection hidden="1"/>
    </xf>
    <xf numFmtId="0" fontId="204" fillId="4" borderId="0" xfId="413" applyFont="1" applyFill="1" applyAlignment="1" applyProtection="1">
      <alignment horizontal="left"/>
      <protection hidden="1"/>
    </xf>
    <xf numFmtId="0" fontId="10" fillId="4" borderId="382" xfId="413" applyFont="1" applyFill="1" applyBorder="1" applyAlignment="1" applyProtection="1">
      <alignment horizontal="center"/>
      <protection hidden="1"/>
    </xf>
    <xf numFmtId="0" fontId="8" fillId="4" borderId="382" xfId="413" applyFont="1" applyFill="1" applyBorder="1" applyAlignment="1" applyProtection="1">
      <alignment horizontal="left"/>
      <protection hidden="1"/>
    </xf>
    <xf numFmtId="0" fontId="2" fillId="3" borderId="0" xfId="413" applyFont="1" applyFill="1" applyAlignment="1" applyProtection="1">
      <alignment horizontal="right" vertical="top"/>
      <protection hidden="1"/>
    </xf>
  </cellXfs>
  <cellStyles count="2195">
    <cellStyle name="20% - Accent1 2" xfId="8"/>
    <cellStyle name="20% - Accent1 2 2" xfId="9"/>
    <cellStyle name="20% - Accent1 2 2 2" xfId="2145"/>
    <cellStyle name="20% - Accent1 2 2 3" xfId="2146"/>
    <cellStyle name="20% - Accent1 2 3" xfId="10"/>
    <cellStyle name="20% - Accent1 2 4" xfId="11"/>
    <cellStyle name="20% - Accent1 2 5" xfId="12"/>
    <cellStyle name="20% - Accent1 2 6" xfId="13"/>
    <cellStyle name="20% - Accent1 2 7" xfId="2147"/>
    <cellStyle name="20% - Accent1 3" xfId="290"/>
    <cellStyle name="20% - Accent2 2" xfId="14"/>
    <cellStyle name="20% - Accent2 2 2" xfId="15"/>
    <cellStyle name="20% - Accent2 2 2 2" xfId="2148"/>
    <cellStyle name="20% - Accent2 2 2 3" xfId="2149"/>
    <cellStyle name="20% - Accent2 2 3" xfId="16"/>
    <cellStyle name="20% - Accent2 2 4" xfId="17"/>
    <cellStyle name="20% - Accent2 2 5" xfId="18"/>
    <cellStyle name="20% - Accent2 2 6" xfId="19"/>
    <cellStyle name="20% - Accent2 2 7" xfId="2150"/>
    <cellStyle name="20% - Accent2 3" xfId="291"/>
    <cellStyle name="20% - Accent3 2" xfId="20"/>
    <cellStyle name="20% - Accent3 2 2" xfId="21"/>
    <cellStyle name="20% - Accent3 2 2 2" xfId="2151"/>
    <cellStyle name="20% - Accent3 2 2 3" xfId="2152"/>
    <cellStyle name="20% - Accent3 2 3" xfId="22"/>
    <cellStyle name="20% - Accent3 2 4" xfId="23"/>
    <cellStyle name="20% - Accent3 2 5" xfId="24"/>
    <cellStyle name="20% - Accent3 2 6" xfId="25"/>
    <cellStyle name="20% - Accent3 2 7" xfId="2153"/>
    <cellStyle name="20% - Accent3 3" xfId="292"/>
    <cellStyle name="20% - Accent4 2" xfId="26"/>
    <cellStyle name="20% - Accent4 2 2" xfId="27"/>
    <cellStyle name="20% - Accent4 2 2 2" xfId="2154"/>
    <cellStyle name="20% - Accent4 2 2 3" xfId="2155"/>
    <cellStyle name="20% - Accent4 2 3" xfId="28"/>
    <cellStyle name="20% - Accent4 2 4" xfId="29"/>
    <cellStyle name="20% - Accent4 2 5" xfId="30"/>
    <cellStyle name="20% - Accent4 2 6" xfId="31"/>
    <cellStyle name="20% - Accent4 2 7" xfId="2156"/>
    <cellStyle name="20% - Accent4 3" xfId="293"/>
    <cellStyle name="20% - Accent5 2" xfId="32"/>
    <cellStyle name="20% - Accent5 2 2" xfId="33"/>
    <cellStyle name="20% - Accent5 2 2 2" xfId="2157"/>
    <cellStyle name="20% - Accent5 2 2 3" xfId="2158"/>
    <cellStyle name="20% - Accent5 2 3" xfId="34"/>
    <cellStyle name="20% - Accent5 2 4" xfId="35"/>
    <cellStyle name="20% - Accent5 2 5" xfId="36"/>
    <cellStyle name="20% - Accent5 2 6" xfId="37"/>
    <cellStyle name="20% - Accent5 2 7" xfId="2159"/>
    <cellStyle name="20% - Accent5 3" xfId="294"/>
    <cellStyle name="20% - Accent6 2" xfId="38"/>
    <cellStyle name="20% - Accent6 2 2" xfId="39"/>
    <cellStyle name="20% - Accent6 2 2 2" xfId="2160"/>
    <cellStyle name="20% - Accent6 2 2 3" xfId="2161"/>
    <cellStyle name="20% - Accent6 2 3" xfId="40"/>
    <cellStyle name="20% - Accent6 2 4" xfId="41"/>
    <cellStyle name="20% - Accent6 2 5" xfId="42"/>
    <cellStyle name="20% - Accent6 2 6" xfId="43"/>
    <cellStyle name="20% - Accent6 2 7" xfId="2162"/>
    <cellStyle name="20% - Accent6 3" xfId="295"/>
    <cellStyle name="40% - Accent1 2" xfId="44"/>
    <cellStyle name="40% - Accent1 2 2" xfId="45"/>
    <cellStyle name="40% - Accent1 2 2 2" xfId="2163"/>
    <cellStyle name="40% - Accent1 2 2 3" xfId="2164"/>
    <cellStyle name="40% - Accent1 2 3" xfId="46"/>
    <cellStyle name="40% - Accent1 2 4" xfId="47"/>
    <cellStyle name="40% - Accent1 2 5" xfId="48"/>
    <cellStyle name="40% - Accent1 2 6" xfId="49"/>
    <cellStyle name="40% - Accent1 2 7" xfId="2165"/>
    <cellStyle name="40% - Accent1 3" xfId="296"/>
    <cellStyle name="40% - Accent2 2" xfId="50"/>
    <cellStyle name="40% - Accent2 2 2" xfId="51"/>
    <cellStyle name="40% - Accent2 2 2 2" xfId="2166"/>
    <cellStyle name="40% - Accent2 2 2 3" xfId="2167"/>
    <cellStyle name="40% - Accent2 2 3" xfId="52"/>
    <cellStyle name="40% - Accent2 2 4" xfId="53"/>
    <cellStyle name="40% - Accent2 2 5" xfId="54"/>
    <cellStyle name="40% - Accent2 2 6" xfId="55"/>
    <cellStyle name="40% - Accent2 2 7" xfId="2168"/>
    <cellStyle name="40% - Accent2 3" xfId="297"/>
    <cellStyle name="40% - Accent3 2" xfId="56"/>
    <cellStyle name="40% - Accent3 2 2" xfId="57"/>
    <cellStyle name="40% - Accent3 2 2 2" xfId="2169"/>
    <cellStyle name="40% - Accent3 2 2 3" xfId="2170"/>
    <cellStyle name="40% - Accent3 2 3" xfId="58"/>
    <cellStyle name="40% - Accent3 2 4" xfId="59"/>
    <cellStyle name="40% - Accent3 2 5" xfId="60"/>
    <cellStyle name="40% - Accent3 2 6" xfId="61"/>
    <cellStyle name="40% - Accent3 2 7" xfId="2171"/>
    <cellStyle name="40% - Accent3 3" xfId="298"/>
    <cellStyle name="40% - Accent4 2" xfId="62"/>
    <cellStyle name="40% - Accent4 2 2" xfId="63"/>
    <cellStyle name="40% - Accent4 2 2 2" xfId="2172"/>
    <cellStyle name="40% - Accent4 2 2 3" xfId="2173"/>
    <cellStyle name="40% - Accent4 2 3" xfId="64"/>
    <cellStyle name="40% - Accent4 2 4" xfId="65"/>
    <cellStyle name="40% - Accent4 2 5" xfId="66"/>
    <cellStyle name="40% - Accent4 2 6" xfId="67"/>
    <cellStyle name="40% - Accent4 2 7" xfId="2174"/>
    <cellStyle name="40% - Accent4 3" xfId="299"/>
    <cellStyle name="40% - Accent5 2" xfId="68"/>
    <cellStyle name="40% - Accent5 2 2" xfId="69"/>
    <cellStyle name="40% - Accent5 2 2 2" xfId="2175"/>
    <cellStyle name="40% - Accent5 2 2 3" xfId="2176"/>
    <cellStyle name="40% - Accent5 2 3" xfId="70"/>
    <cellStyle name="40% - Accent5 2 4" xfId="71"/>
    <cellStyle name="40% - Accent5 2 5" xfId="72"/>
    <cellStyle name="40% - Accent5 2 6" xfId="73"/>
    <cellStyle name="40% - Accent5 2 7" xfId="2177"/>
    <cellStyle name="40% - Accent5 3" xfId="300"/>
    <cellStyle name="40% - Accent6 2" xfId="74"/>
    <cellStyle name="40% - Accent6 2 2" xfId="75"/>
    <cellStyle name="40% - Accent6 2 2 2" xfId="2178"/>
    <cellStyle name="40% - Accent6 2 2 3" xfId="2179"/>
    <cellStyle name="40% - Accent6 2 3" xfId="76"/>
    <cellStyle name="40% - Accent6 2 4" xfId="77"/>
    <cellStyle name="40% - Accent6 2 5" xfId="78"/>
    <cellStyle name="40% - Accent6 2 6" xfId="79"/>
    <cellStyle name="40% - Accent6 2 7" xfId="2180"/>
    <cellStyle name="40% - Accent6 3" xfId="301"/>
    <cellStyle name="60% - Accent1 2" xfId="302"/>
    <cellStyle name="60% - Accent2 2" xfId="303"/>
    <cellStyle name="60% - Accent3 2" xfId="304"/>
    <cellStyle name="60% - Accent4 2" xfId="305"/>
    <cellStyle name="60% - Accent5 2" xfId="306"/>
    <cellStyle name="60% - Accent6 2" xfId="307"/>
    <cellStyle name="Accent1 2" xfId="308"/>
    <cellStyle name="Accent2 2" xfId="309"/>
    <cellStyle name="Accent3 2" xfId="310"/>
    <cellStyle name="Accent4 2" xfId="311"/>
    <cellStyle name="Accent5 2" xfId="312"/>
    <cellStyle name="Accent6 2" xfId="313"/>
    <cellStyle name="Bad 2" xfId="314"/>
    <cellStyle name="Calculation 2" xfId="80"/>
    <cellStyle name="Calculation 2 2" xfId="81"/>
    <cellStyle name="Calculation 2 2 2" xfId="205"/>
    <cellStyle name="Calculation 2 2 2 2" xfId="513"/>
    <cellStyle name="Calculation 2 2 2 2 2" xfId="1080"/>
    <cellStyle name="Calculation 2 2 2 2 2 2" xfId="1980"/>
    <cellStyle name="Calculation 2 2 2 2 3" xfId="1496"/>
    <cellStyle name="Calculation 2 2 2 3" xfId="819"/>
    <cellStyle name="Calculation 2 2 2 3 2" xfId="1738"/>
    <cellStyle name="Calculation 2 2 2 4" xfId="1251"/>
    <cellStyle name="Calculation 2 2 3" xfId="374"/>
    <cellStyle name="Calculation 2 2 3 2" xfId="639"/>
    <cellStyle name="Calculation 2 2 3 2 2" xfId="1206"/>
    <cellStyle name="Calculation 2 2 3 2 2 2" xfId="2106"/>
    <cellStyle name="Calculation 2 2 3 2 3" xfId="1622"/>
    <cellStyle name="Calculation 2 2 3 3" xfId="960"/>
    <cellStyle name="Calculation 2 2 3 3 2" xfId="1864"/>
    <cellStyle name="Calculation 2 2 3 4" xfId="1377"/>
    <cellStyle name="Calculation 2 2 4" xfId="431"/>
    <cellStyle name="Calculation 2 2 4 2" xfId="1001"/>
    <cellStyle name="Calculation 2 2 4 2 2" xfId="1901"/>
    <cellStyle name="Calculation 2 2 4 3" xfId="1417"/>
    <cellStyle name="Calculation 2 2 5" xfId="728"/>
    <cellStyle name="Calculation 2 2 5 2" xfId="1659"/>
    <cellStyle name="Calculation 2 2 6" xfId="746"/>
    <cellStyle name="Calculation 2 3" xfId="204"/>
    <cellStyle name="Calculation 2 3 2" xfId="512"/>
    <cellStyle name="Calculation 2 3 2 2" xfId="1079"/>
    <cellStyle name="Calculation 2 3 2 2 2" xfId="1979"/>
    <cellStyle name="Calculation 2 3 2 3" xfId="1495"/>
    <cellStyle name="Calculation 2 3 3" xfId="818"/>
    <cellStyle name="Calculation 2 3 3 2" xfId="1737"/>
    <cellStyle name="Calculation 2 3 4" xfId="1250"/>
    <cellStyle name="Calculation 2 4" xfId="332"/>
    <cellStyle name="Calculation 2 4 2" xfId="597"/>
    <cellStyle name="Calculation 2 4 2 2" xfId="1164"/>
    <cellStyle name="Calculation 2 4 2 2 2" xfId="2064"/>
    <cellStyle name="Calculation 2 4 2 3" xfId="1580"/>
    <cellStyle name="Calculation 2 4 3" xfId="918"/>
    <cellStyle name="Calculation 2 4 3 2" xfId="1822"/>
    <cellStyle name="Calculation 2 4 4" xfId="1335"/>
    <cellStyle name="Calculation 2 5" xfId="430"/>
    <cellStyle name="Calculation 2 5 2" xfId="1000"/>
    <cellStyle name="Calculation 2 5 2 2" xfId="1900"/>
    <cellStyle name="Calculation 2 5 3" xfId="1416"/>
    <cellStyle name="Calculation 2 6" xfId="727"/>
    <cellStyle name="Calculation 2 6 2" xfId="1658"/>
    <cellStyle name="Calculation 2 7" xfId="747"/>
    <cellStyle name="Calculation 3" xfId="82"/>
    <cellStyle name="Calculation 3 2" xfId="83"/>
    <cellStyle name="Calculation 3 2 2" xfId="207"/>
    <cellStyle name="Calculation 3 2 2 2" xfId="515"/>
    <cellStyle name="Calculation 3 2 2 2 2" xfId="1082"/>
    <cellStyle name="Calculation 3 2 2 2 2 2" xfId="1982"/>
    <cellStyle name="Calculation 3 2 2 2 3" xfId="1498"/>
    <cellStyle name="Calculation 3 2 2 3" xfId="821"/>
    <cellStyle name="Calculation 3 2 2 3 2" xfId="1740"/>
    <cellStyle name="Calculation 3 2 2 4" xfId="1253"/>
    <cellStyle name="Calculation 3 2 3" xfId="382"/>
    <cellStyle name="Calculation 3 2 3 2" xfId="647"/>
    <cellStyle name="Calculation 3 2 3 2 2" xfId="1214"/>
    <cellStyle name="Calculation 3 2 3 2 2 2" xfId="2114"/>
    <cellStyle name="Calculation 3 2 3 2 3" xfId="1630"/>
    <cellStyle name="Calculation 3 2 3 3" xfId="968"/>
    <cellStyle name="Calculation 3 2 3 3 2" xfId="1872"/>
    <cellStyle name="Calculation 3 2 3 4" xfId="1385"/>
    <cellStyle name="Calculation 3 2 4" xfId="433"/>
    <cellStyle name="Calculation 3 2 4 2" xfId="1003"/>
    <cellStyle name="Calculation 3 2 4 2 2" xfId="1903"/>
    <cellStyle name="Calculation 3 2 4 3" xfId="1419"/>
    <cellStyle name="Calculation 3 2 5" xfId="730"/>
    <cellStyle name="Calculation 3 2 5 2" xfId="1661"/>
    <cellStyle name="Calculation 3 2 6" xfId="912"/>
    <cellStyle name="Calculation 3 3" xfId="206"/>
    <cellStyle name="Calculation 3 3 2" xfId="514"/>
    <cellStyle name="Calculation 3 3 2 2" xfId="1081"/>
    <cellStyle name="Calculation 3 3 2 2 2" xfId="1981"/>
    <cellStyle name="Calculation 3 3 2 3" xfId="1497"/>
    <cellStyle name="Calculation 3 3 3" xfId="820"/>
    <cellStyle name="Calculation 3 3 3 2" xfId="1739"/>
    <cellStyle name="Calculation 3 3 4" xfId="1252"/>
    <cellStyle name="Calculation 3 4" xfId="340"/>
    <cellStyle name="Calculation 3 4 2" xfId="605"/>
    <cellStyle name="Calculation 3 4 2 2" xfId="1172"/>
    <cellStyle name="Calculation 3 4 2 2 2" xfId="2072"/>
    <cellStyle name="Calculation 3 4 2 3" xfId="1588"/>
    <cellStyle name="Calculation 3 4 3" xfId="926"/>
    <cellStyle name="Calculation 3 4 3 2" xfId="1830"/>
    <cellStyle name="Calculation 3 4 4" xfId="1343"/>
    <cellStyle name="Calculation 3 5" xfId="432"/>
    <cellStyle name="Calculation 3 5 2" xfId="1002"/>
    <cellStyle name="Calculation 3 5 2 2" xfId="1902"/>
    <cellStyle name="Calculation 3 5 3" xfId="1418"/>
    <cellStyle name="Calculation 3 6" xfId="729"/>
    <cellStyle name="Calculation 3 6 2" xfId="1660"/>
    <cellStyle name="Calculation 3 7" xfId="745"/>
    <cellStyle name="Calculation 4" xfId="84"/>
    <cellStyle name="Calculation 4 2" xfId="85"/>
    <cellStyle name="Calculation 4 2 2" xfId="209"/>
    <cellStyle name="Calculation 4 2 2 2" xfId="517"/>
    <cellStyle name="Calculation 4 2 2 2 2" xfId="1084"/>
    <cellStyle name="Calculation 4 2 2 2 2 2" xfId="1984"/>
    <cellStyle name="Calculation 4 2 2 2 3" xfId="1500"/>
    <cellStyle name="Calculation 4 2 2 3" xfId="823"/>
    <cellStyle name="Calculation 4 2 2 3 2" xfId="1742"/>
    <cellStyle name="Calculation 4 2 2 4" xfId="1255"/>
    <cellStyle name="Calculation 4 2 3" xfId="380"/>
    <cellStyle name="Calculation 4 2 3 2" xfId="645"/>
    <cellStyle name="Calculation 4 2 3 2 2" xfId="1212"/>
    <cellStyle name="Calculation 4 2 3 2 2 2" xfId="2112"/>
    <cellStyle name="Calculation 4 2 3 2 3" xfId="1628"/>
    <cellStyle name="Calculation 4 2 3 3" xfId="966"/>
    <cellStyle name="Calculation 4 2 3 3 2" xfId="1870"/>
    <cellStyle name="Calculation 4 2 3 4" xfId="1383"/>
    <cellStyle name="Calculation 4 2 4" xfId="435"/>
    <cellStyle name="Calculation 4 2 4 2" xfId="1005"/>
    <cellStyle name="Calculation 4 2 4 2 2" xfId="1905"/>
    <cellStyle name="Calculation 4 2 4 3" xfId="1421"/>
    <cellStyle name="Calculation 4 2 5" xfId="732"/>
    <cellStyle name="Calculation 4 2 5 2" xfId="1663"/>
    <cellStyle name="Calculation 4 2 6" xfId="743"/>
    <cellStyle name="Calculation 4 3" xfId="208"/>
    <cellStyle name="Calculation 4 3 2" xfId="516"/>
    <cellStyle name="Calculation 4 3 2 2" xfId="1083"/>
    <cellStyle name="Calculation 4 3 2 2 2" xfId="1983"/>
    <cellStyle name="Calculation 4 3 2 3" xfId="1499"/>
    <cellStyle name="Calculation 4 3 3" xfId="822"/>
    <cellStyle name="Calculation 4 3 3 2" xfId="1741"/>
    <cellStyle name="Calculation 4 3 4" xfId="1254"/>
    <cellStyle name="Calculation 4 4" xfId="338"/>
    <cellStyle name="Calculation 4 4 2" xfId="603"/>
    <cellStyle name="Calculation 4 4 2 2" xfId="1170"/>
    <cellStyle name="Calculation 4 4 2 2 2" xfId="2070"/>
    <cellStyle name="Calculation 4 4 2 3" xfId="1586"/>
    <cellStyle name="Calculation 4 4 3" xfId="924"/>
    <cellStyle name="Calculation 4 4 3 2" xfId="1828"/>
    <cellStyle name="Calculation 4 4 4" xfId="1341"/>
    <cellStyle name="Calculation 4 5" xfId="434"/>
    <cellStyle name="Calculation 4 5 2" xfId="1004"/>
    <cellStyle name="Calculation 4 5 2 2" xfId="1904"/>
    <cellStyle name="Calculation 4 5 3" xfId="1420"/>
    <cellStyle name="Calculation 4 6" xfId="731"/>
    <cellStyle name="Calculation 4 6 2" xfId="1662"/>
    <cellStyle name="Calculation 4 7" xfId="744"/>
    <cellStyle name="Calculation 5" xfId="86"/>
    <cellStyle name="Calculation 5 2" xfId="87"/>
    <cellStyle name="Calculation 5 2 2" xfId="211"/>
    <cellStyle name="Calculation 5 2 2 2" xfId="519"/>
    <cellStyle name="Calculation 5 2 2 2 2" xfId="1086"/>
    <cellStyle name="Calculation 5 2 2 2 2 2" xfId="1986"/>
    <cellStyle name="Calculation 5 2 2 2 3" xfId="1502"/>
    <cellStyle name="Calculation 5 2 2 3" xfId="825"/>
    <cellStyle name="Calculation 5 2 2 3 2" xfId="1744"/>
    <cellStyle name="Calculation 5 2 2 4" xfId="1257"/>
    <cellStyle name="Calculation 5 2 3" xfId="381"/>
    <cellStyle name="Calculation 5 2 3 2" xfId="646"/>
    <cellStyle name="Calculation 5 2 3 2 2" xfId="1213"/>
    <cellStyle name="Calculation 5 2 3 2 2 2" xfId="2113"/>
    <cellStyle name="Calculation 5 2 3 2 3" xfId="1629"/>
    <cellStyle name="Calculation 5 2 3 3" xfId="967"/>
    <cellStyle name="Calculation 5 2 3 3 2" xfId="1871"/>
    <cellStyle name="Calculation 5 2 3 4" xfId="1384"/>
    <cellStyle name="Calculation 5 2 4" xfId="437"/>
    <cellStyle name="Calculation 5 2 4 2" xfId="1007"/>
    <cellStyle name="Calculation 5 2 4 2 2" xfId="1907"/>
    <cellStyle name="Calculation 5 2 4 3" xfId="1423"/>
    <cellStyle name="Calculation 5 2 5" xfId="734"/>
    <cellStyle name="Calculation 5 2 5 2" xfId="1665"/>
    <cellStyle name="Calculation 5 2 6" xfId="741"/>
    <cellStyle name="Calculation 5 3" xfId="210"/>
    <cellStyle name="Calculation 5 3 2" xfId="518"/>
    <cellStyle name="Calculation 5 3 2 2" xfId="1085"/>
    <cellStyle name="Calculation 5 3 2 2 2" xfId="1985"/>
    <cellStyle name="Calculation 5 3 2 3" xfId="1501"/>
    <cellStyle name="Calculation 5 3 3" xfId="824"/>
    <cellStyle name="Calculation 5 3 3 2" xfId="1743"/>
    <cellStyle name="Calculation 5 3 4" xfId="1256"/>
    <cellStyle name="Calculation 5 4" xfId="339"/>
    <cellStyle name="Calculation 5 4 2" xfId="604"/>
    <cellStyle name="Calculation 5 4 2 2" xfId="1171"/>
    <cellStyle name="Calculation 5 4 2 2 2" xfId="2071"/>
    <cellStyle name="Calculation 5 4 2 3" xfId="1587"/>
    <cellStyle name="Calculation 5 4 3" xfId="925"/>
    <cellStyle name="Calculation 5 4 3 2" xfId="1829"/>
    <cellStyle name="Calculation 5 4 4" xfId="1342"/>
    <cellStyle name="Calculation 5 5" xfId="436"/>
    <cellStyle name="Calculation 5 5 2" xfId="1006"/>
    <cellStyle name="Calculation 5 5 2 2" xfId="1906"/>
    <cellStyle name="Calculation 5 5 3" xfId="1422"/>
    <cellStyle name="Calculation 5 6" xfId="733"/>
    <cellStyle name="Calculation 5 6 2" xfId="1664"/>
    <cellStyle name="Calculation 5 7" xfId="742"/>
    <cellStyle name="Calculation 6" xfId="88"/>
    <cellStyle name="Calculation 6 2" xfId="89"/>
    <cellStyle name="Calculation 6 2 2" xfId="213"/>
    <cellStyle name="Calculation 6 2 2 2" xfId="521"/>
    <cellStyle name="Calculation 6 2 2 2 2" xfId="1088"/>
    <cellStyle name="Calculation 6 2 2 2 2 2" xfId="1988"/>
    <cellStyle name="Calculation 6 2 2 2 3" xfId="1504"/>
    <cellStyle name="Calculation 6 2 2 3" xfId="827"/>
    <cellStyle name="Calculation 6 2 2 3 2" xfId="1746"/>
    <cellStyle name="Calculation 6 2 2 4" xfId="1259"/>
    <cellStyle name="Calculation 6 2 3" xfId="390"/>
    <cellStyle name="Calculation 6 2 3 2" xfId="655"/>
    <cellStyle name="Calculation 6 2 3 2 2" xfId="1222"/>
    <cellStyle name="Calculation 6 2 3 2 2 2" xfId="2122"/>
    <cellStyle name="Calculation 6 2 3 2 3" xfId="1638"/>
    <cellStyle name="Calculation 6 2 3 3" xfId="976"/>
    <cellStyle name="Calculation 6 2 3 3 2" xfId="1880"/>
    <cellStyle name="Calculation 6 2 3 4" xfId="1393"/>
    <cellStyle name="Calculation 6 2 4" xfId="439"/>
    <cellStyle name="Calculation 6 2 4 2" xfId="1009"/>
    <cellStyle name="Calculation 6 2 4 2 2" xfId="1909"/>
    <cellStyle name="Calculation 6 2 4 3" xfId="1425"/>
    <cellStyle name="Calculation 6 2 5" xfId="736"/>
    <cellStyle name="Calculation 6 2 5 2" xfId="1667"/>
    <cellStyle name="Calculation 6 2 6" xfId="911"/>
    <cellStyle name="Calculation 6 3" xfId="212"/>
    <cellStyle name="Calculation 6 3 2" xfId="520"/>
    <cellStyle name="Calculation 6 3 2 2" xfId="1087"/>
    <cellStyle name="Calculation 6 3 2 2 2" xfId="1987"/>
    <cellStyle name="Calculation 6 3 2 3" xfId="1503"/>
    <cellStyle name="Calculation 6 3 3" xfId="826"/>
    <cellStyle name="Calculation 6 3 3 2" xfId="1745"/>
    <cellStyle name="Calculation 6 3 4" xfId="1258"/>
    <cellStyle name="Calculation 6 4" xfId="348"/>
    <cellStyle name="Calculation 6 4 2" xfId="613"/>
    <cellStyle name="Calculation 6 4 2 2" xfId="1180"/>
    <cellStyle name="Calculation 6 4 2 2 2" xfId="2080"/>
    <cellStyle name="Calculation 6 4 2 3" xfId="1596"/>
    <cellStyle name="Calculation 6 4 3" xfId="934"/>
    <cellStyle name="Calculation 6 4 3 2" xfId="1838"/>
    <cellStyle name="Calculation 6 4 4" xfId="1351"/>
    <cellStyle name="Calculation 6 5" xfId="438"/>
    <cellStyle name="Calculation 6 5 2" xfId="1008"/>
    <cellStyle name="Calculation 6 5 2 2" xfId="1908"/>
    <cellStyle name="Calculation 6 5 3" xfId="1424"/>
    <cellStyle name="Calculation 6 6" xfId="735"/>
    <cellStyle name="Calculation 6 6 2" xfId="1666"/>
    <cellStyle name="Calculation 6 7" xfId="740"/>
    <cellStyle name="Calculation 7" xfId="90"/>
    <cellStyle name="Calculation 7 2" xfId="91"/>
    <cellStyle name="Calculation 7 2 2" xfId="215"/>
    <cellStyle name="Calculation 7 2 2 2" xfId="523"/>
    <cellStyle name="Calculation 7 2 2 2 2" xfId="1090"/>
    <cellStyle name="Calculation 7 2 2 2 2 2" xfId="1990"/>
    <cellStyle name="Calculation 7 2 2 2 3" xfId="1506"/>
    <cellStyle name="Calculation 7 2 2 3" xfId="829"/>
    <cellStyle name="Calculation 7 2 2 3 2" xfId="1748"/>
    <cellStyle name="Calculation 7 2 2 4" xfId="1261"/>
    <cellStyle name="Calculation 7 2 3" xfId="385"/>
    <cellStyle name="Calculation 7 2 3 2" xfId="650"/>
    <cellStyle name="Calculation 7 2 3 2 2" xfId="1217"/>
    <cellStyle name="Calculation 7 2 3 2 2 2" xfId="2117"/>
    <cellStyle name="Calculation 7 2 3 2 3" xfId="1633"/>
    <cellStyle name="Calculation 7 2 3 3" xfId="971"/>
    <cellStyle name="Calculation 7 2 3 3 2" xfId="1875"/>
    <cellStyle name="Calculation 7 2 3 4" xfId="1388"/>
    <cellStyle name="Calculation 7 2 4" xfId="441"/>
    <cellStyle name="Calculation 7 2 4 2" xfId="1011"/>
    <cellStyle name="Calculation 7 2 4 2 2" xfId="1911"/>
    <cellStyle name="Calculation 7 2 4 3" xfId="1427"/>
    <cellStyle name="Calculation 7 2 5" xfId="738"/>
    <cellStyle name="Calculation 7 2 5 2" xfId="1669"/>
    <cellStyle name="Calculation 7 2 6" xfId="998"/>
    <cellStyle name="Calculation 7 3" xfId="214"/>
    <cellStyle name="Calculation 7 3 2" xfId="522"/>
    <cellStyle name="Calculation 7 3 2 2" xfId="1089"/>
    <cellStyle name="Calculation 7 3 2 2 2" xfId="1989"/>
    <cellStyle name="Calculation 7 3 2 3" xfId="1505"/>
    <cellStyle name="Calculation 7 3 3" xfId="828"/>
    <cellStyle name="Calculation 7 3 3 2" xfId="1747"/>
    <cellStyle name="Calculation 7 3 4" xfId="1260"/>
    <cellStyle name="Calculation 7 4" xfId="343"/>
    <cellStyle name="Calculation 7 4 2" xfId="608"/>
    <cellStyle name="Calculation 7 4 2 2" xfId="1175"/>
    <cellStyle name="Calculation 7 4 2 2 2" xfId="2075"/>
    <cellStyle name="Calculation 7 4 2 3" xfId="1591"/>
    <cellStyle name="Calculation 7 4 3" xfId="929"/>
    <cellStyle name="Calculation 7 4 3 2" xfId="1833"/>
    <cellStyle name="Calculation 7 4 4" xfId="1346"/>
    <cellStyle name="Calculation 7 5" xfId="440"/>
    <cellStyle name="Calculation 7 5 2" xfId="1010"/>
    <cellStyle name="Calculation 7 5 2 2" xfId="1910"/>
    <cellStyle name="Calculation 7 5 3" xfId="1426"/>
    <cellStyle name="Calculation 7 6" xfId="737"/>
    <cellStyle name="Calculation 7 6 2" xfId="1668"/>
    <cellStyle name="Calculation 7 7" xfId="910"/>
    <cellStyle name="Calculation 8" xfId="92"/>
    <cellStyle name="Calculation 8 2" xfId="216"/>
    <cellStyle name="Calculation 8 2 2" xfId="524"/>
    <cellStyle name="Calculation 8 2 2 2" xfId="1091"/>
    <cellStyle name="Calculation 8 2 2 2 2" xfId="1991"/>
    <cellStyle name="Calculation 8 2 2 3" xfId="1507"/>
    <cellStyle name="Calculation 8 2 3" xfId="830"/>
    <cellStyle name="Calculation 8 2 3 2" xfId="1749"/>
    <cellStyle name="Calculation 8 2 4" xfId="1262"/>
    <cellStyle name="Calculation 8 3" xfId="368"/>
    <cellStyle name="Calculation 8 3 2" xfId="633"/>
    <cellStyle name="Calculation 8 3 2 2" xfId="1200"/>
    <cellStyle name="Calculation 8 3 2 2 2" xfId="2100"/>
    <cellStyle name="Calculation 8 3 2 3" xfId="1616"/>
    <cellStyle name="Calculation 8 3 3" xfId="954"/>
    <cellStyle name="Calculation 8 3 3 2" xfId="1858"/>
    <cellStyle name="Calculation 8 3 4" xfId="1371"/>
    <cellStyle name="Calculation 8 4" xfId="442"/>
    <cellStyle name="Calculation 8 4 2" xfId="1012"/>
    <cellStyle name="Calculation 8 4 2 2" xfId="1912"/>
    <cellStyle name="Calculation 8 4 3" xfId="1428"/>
    <cellStyle name="Calculation 8 5" xfId="739"/>
    <cellStyle name="Calculation 8 5 2" xfId="1670"/>
    <cellStyle name="Calculation 8 6" xfId="815"/>
    <cellStyle name="Calculation 9" xfId="315"/>
    <cellStyle name="Calculation 9 2" xfId="591"/>
    <cellStyle name="Calculation 9 2 2" xfId="1158"/>
    <cellStyle name="Calculation 9 2 2 2" xfId="2058"/>
    <cellStyle name="Calculation 9 2 3" xfId="1574"/>
    <cellStyle name="Calculation 9 3" xfId="909"/>
    <cellStyle name="Calculation 9 3 2" xfId="1816"/>
    <cellStyle name="Calculation 9 4" xfId="1329"/>
    <cellStyle name="Check Cell 2" xfId="316"/>
    <cellStyle name="Comma" xfId="197" builtinId="3"/>
    <cellStyle name="Currency 2" xfId="199"/>
    <cellStyle name="Currency 3" xfId="2181"/>
    <cellStyle name="Currency_18beer" xfId="416"/>
    <cellStyle name="Explanatory Text 2" xfId="317"/>
    <cellStyle name="Good 2" xfId="318"/>
    <cellStyle name="Heading 1 2" xfId="93"/>
    <cellStyle name="Heading 1 2 2" xfId="2182"/>
    <cellStyle name="Heading 1 2 3" xfId="2183"/>
    <cellStyle name="Heading 1 3" xfId="94"/>
    <cellStyle name="Heading 1 4" xfId="95"/>
    <cellStyle name="Heading 1 5" xfId="96"/>
    <cellStyle name="Heading 1 6" xfId="97"/>
    <cellStyle name="Heading 1 7" xfId="319"/>
    <cellStyle name="Heading 2 2" xfId="98"/>
    <cellStyle name="Heading 2 2 2" xfId="2184"/>
    <cellStyle name="Heading 2 2 3" xfId="2185"/>
    <cellStyle name="Heading 2 3" xfId="99"/>
    <cellStyle name="Heading 2 4" xfId="100"/>
    <cellStyle name="Heading 2 5" xfId="101"/>
    <cellStyle name="Heading 2 6" xfId="102"/>
    <cellStyle name="Heading 2 7" xfId="320"/>
    <cellStyle name="Heading 3 2" xfId="321"/>
    <cellStyle name="Heading 4 2" xfId="322"/>
    <cellStyle name="Hyperlink" xfId="3" builtinId="8"/>
    <cellStyle name="Hyperlink 2" xfId="103"/>
    <cellStyle name="Hyperlink 3" xfId="104"/>
    <cellStyle name="Hyperlink 3 2" xfId="2142"/>
    <cellStyle name="Hyperlink 4" xfId="2143"/>
    <cellStyle name="Hyperlink 5" xfId="2186"/>
    <cellStyle name="Hyperlink_1.4WinrF" xfId="417"/>
    <cellStyle name="Hyperlink_xPetes_YoBrew" xfId="2190"/>
    <cellStyle name="Input 2" xfId="105"/>
    <cellStyle name="Input 2 2" xfId="106"/>
    <cellStyle name="Input 2 2 2" xfId="218"/>
    <cellStyle name="Input 2 2 2 2" xfId="526"/>
    <cellStyle name="Input 2 2 2 2 2" xfId="1093"/>
    <cellStyle name="Input 2 2 2 2 2 2" xfId="1993"/>
    <cellStyle name="Input 2 2 2 2 3" xfId="1509"/>
    <cellStyle name="Input 2 2 2 3" xfId="832"/>
    <cellStyle name="Input 2 2 2 3 2" xfId="1751"/>
    <cellStyle name="Input 2 2 2 4" xfId="1264"/>
    <cellStyle name="Input 2 2 3" xfId="375"/>
    <cellStyle name="Input 2 2 3 2" xfId="640"/>
    <cellStyle name="Input 2 2 3 2 2" xfId="1207"/>
    <cellStyle name="Input 2 2 3 2 2 2" xfId="2107"/>
    <cellStyle name="Input 2 2 3 2 3" xfId="1623"/>
    <cellStyle name="Input 2 2 3 3" xfId="961"/>
    <cellStyle name="Input 2 2 3 3 2" xfId="1865"/>
    <cellStyle name="Input 2 2 3 4" xfId="1378"/>
    <cellStyle name="Input 2 2 4" xfId="444"/>
    <cellStyle name="Input 2 2 4 2" xfId="1014"/>
    <cellStyle name="Input 2 2 4 2 2" xfId="1914"/>
    <cellStyle name="Input 2 2 4 3" xfId="1430"/>
    <cellStyle name="Input 2 2 5" xfId="749"/>
    <cellStyle name="Input 2 2 5 2" xfId="1672"/>
    <cellStyle name="Input 2 2 6" xfId="907"/>
    <cellStyle name="Input 2 3" xfId="217"/>
    <cellStyle name="Input 2 3 2" xfId="525"/>
    <cellStyle name="Input 2 3 2 2" xfId="1092"/>
    <cellStyle name="Input 2 3 2 2 2" xfId="1992"/>
    <cellStyle name="Input 2 3 2 3" xfId="1508"/>
    <cellStyle name="Input 2 3 3" xfId="831"/>
    <cellStyle name="Input 2 3 3 2" xfId="1750"/>
    <cellStyle name="Input 2 3 4" xfId="1263"/>
    <cellStyle name="Input 2 4" xfId="333"/>
    <cellStyle name="Input 2 4 2" xfId="598"/>
    <cellStyle name="Input 2 4 2 2" xfId="1165"/>
    <cellStyle name="Input 2 4 2 2 2" xfId="2065"/>
    <cellStyle name="Input 2 4 2 3" xfId="1581"/>
    <cellStyle name="Input 2 4 3" xfId="919"/>
    <cellStyle name="Input 2 4 3 2" xfId="1823"/>
    <cellStyle name="Input 2 4 4" xfId="1336"/>
    <cellStyle name="Input 2 5" xfId="443"/>
    <cellStyle name="Input 2 5 2" xfId="1013"/>
    <cellStyle name="Input 2 5 2 2" xfId="1913"/>
    <cellStyle name="Input 2 5 3" xfId="1429"/>
    <cellStyle name="Input 2 6" xfId="748"/>
    <cellStyle name="Input 2 6 2" xfId="1671"/>
    <cellStyle name="Input 2 7" xfId="908"/>
    <cellStyle name="Input 3" xfId="107"/>
    <cellStyle name="Input 3 2" xfId="108"/>
    <cellStyle name="Input 3 2 2" xfId="220"/>
    <cellStyle name="Input 3 2 2 2" xfId="528"/>
    <cellStyle name="Input 3 2 2 2 2" xfId="1095"/>
    <cellStyle name="Input 3 2 2 2 2 2" xfId="1995"/>
    <cellStyle name="Input 3 2 2 2 3" xfId="1511"/>
    <cellStyle name="Input 3 2 2 3" xfId="834"/>
    <cellStyle name="Input 3 2 2 3 2" xfId="1753"/>
    <cellStyle name="Input 3 2 2 4" xfId="1266"/>
    <cellStyle name="Input 3 2 3" xfId="383"/>
    <cellStyle name="Input 3 2 3 2" xfId="648"/>
    <cellStyle name="Input 3 2 3 2 2" xfId="1215"/>
    <cellStyle name="Input 3 2 3 2 2 2" xfId="2115"/>
    <cellStyle name="Input 3 2 3 2 3" xfId="1631"/>
    <cellStyle name="Input 3 2 3 3" xfId="969"/>
    <cellStyle name="Input 3 2 3 3 2" xfId="1873"/>
    <cellStyle name="Input 3 2 3 4" xfId="1386"/>
    <cellStyle name="Input 3 2 4" xfId="446"/>
    <cellStyle name="Input 3 2 4 2" xfId="1016"/>
    <cellStyle name="Input 3 2 4 2 2" xfId="1916"/>
    <cellStyle name="Input 3 2 4 3" xfId="1432"/>
    <cellStyle name="Input 3 2 5" xfId="751"/>
    <cellStyle name="Input 3 2 5 2" xfId="1674"/>
    <cellStyle name="Input 3 2 6" xfId="905"/>
    <cellStyle name="Input 3 3" xfId="219"/>
    <cellStyle name="Input 3 3 2" xfId="527"/>
    <cellStyle name="Input 3 3 2 2" xfId="1094"/>
    <cellStyle name="Input 3 3 2 2 2" xfId="1994"/>
    <cellStyle name="Input 3 3 2 3" xfId="1510"/>
    <cellStyle name="Input 3 3 3" xfId="833"/>
    <cellStyle name="Input 3 3 3 2" xfId="1752"/>
    <cellStyle name="Input 3 3 4" xfId="1265"/>
    <cellStyle name="Input 3 4" xfId="341"/>
    <cellStyle name="Input 3 4 2" xfId="606"/>
    <cellStyle name="Input 3 4 2 2" xfId="1173"/>
    <cellStyle name="Input 3 4 2 2 2" xfId="2073"/>
    <cellStyle name="Input 3 4 2 3" xfId="1589"/>
    <cellStyle name="Input 3 4 3" xfId="927"/>
    <cellStyle name="Input 3 4 3 2" xfId="1831"/>
    <cellStyle name="Input 3 4 4" xfId="1344"/>
    <cellStyle name="Input 3 5" xfId="445"/>
    <cellStyle name="Input 3 5 2" xfId="1015"/>
    <cellStyle name="Input 3 5 2 2" xfId="1915"/>
    <cellStyle name="Input 3 5 3" xfId="1431"/>
    <cellStyle name="Input 3 6" xfId="750"/>
    <cellStyle name="Input 3 6 2" xfId="1673"/>
    <cellStyle name="Input 3 7" xfId="906"/>
    <cellStyle name="Input 4" xfId="109"/>
    <cellStyle name="Input 4 2" xfId="110"/>
    <cellStyle name="Input 4 2 2" xfId="222"/>
    <cellStyle name="Input 4 2 2 2" xfId="530"/>
    <cellStyle name="Input 4 2 2 2 2" xfId="1097"/>
    <cellStyle name="Input 4 2 2 2 2 2" xfId="1997"/>
    <cellStyle name="Input 4 2 2 2 3" xfId="1513"/>
    <cellStyle name="Input 4 2 2 3" xfId="836"/>
    <cellStyle name="Input 4 2 2 3 2" xfId="1755"/>
    <cellStyle name="Input 4 2 2 4" xfId="1268"/>
    <cellStyle name="Input 4 2 3" xfId="391"/>
    <cellStyle name="Input 4 2 3 2" xfId="656"/>
    <cellStyle name="Input 4 2 3 2 2" xfId="1223"/>
    <cellStyle name="Input 4 2 3 2 2 2" xfId="2123"/>
    <cellStyle name="Input 4 2 3 2 3" xfId="1639"/>
    <cellStyle name="Input 4 2 3 3" xfId="977"/>
    <cellStyle name="Input 4 2 3 3 2" xfId="1881"/>
    <cellStyle name="Input 4 2 3 4" xfId="1394"/>
    <cellStyle name="Input 4 2 4" xfId="448"/>
    <cellStyle name="Input 4 2 4 2" xfId="1018"/>
    <cellStyle name="Input 4 2 4 2 2" xfId="1918"/>
    <cellStyle name="Input 4 2 4 3" xfId="1434"/>
    <cellStyle name="Input 4 2 5" xfId="753"/>
    <cellStyle name="Input 4 2 5 2" xfId="1676"/>
    <cellStyle name="Input 4 2 6" xfId="725"/>
    <cellStyle name="Input 4 3" xfId="221"/>
    <cellStyle name="Input 4 3 2" xfId="529"/>
    <cellStyle name="Input 4 3 2 2" xfId="1096"/>
    <cellStyle name="Input 4 3 2 2 2" xfId="1996"/>
    <cellStyle name="Input 4 3 2 3" xfId="1512"/>
    <cellStyle name="Input 4 3 3" xfId="835"/>
    <cellStyle name="Input 4 3 3 2" xfId="1754"/>
    <cellStyle name="Input 4 3 4" xfId="1267"/>
    <cellStyle name="Input 4 4" xfId="349"/>
    <cellStyle name="Input 4 4 2" xfId="614"/>
    <cellStyle name="Input 4 4 2 2" xfId="1181"/>
    <cellStyle name="Input 4 4 2 2 2" xfId="2081"/>
    <cellStyle name="Input 4 4 2 3" xfId="1597"/>
    <cellStyle name="Input 4 4 3" xfId="935"/>
    <cellStyle name="Input 4 4 3 2" xfId="1839"/>
    <cellStyle name="Input 4 4 4" xfId="1352"/>
    <cellStyle name="Input 4 5" xfId="447"/>
    <cellStyle name="Input 4 5 2" xfId="1017"/>
    <cellStyle name="Input 4 5 2 2" xfId="1917"/>
    <cellStyle name="Input 4 5 3" xfId="1433"/>
    <cellStyle name="Input 4 6" xfId="752"/>
    <cellStyle name="Input 4 6 2" xfId="1675"/>
    <cellStyle name="Input 4 7" xfId="726"/>
    <cellStyle name="Input 5" xfId="111"/>
    <cellStyle name="Input 5 2" xfId="112"/>
    <cellStyle name="Input 5 2 2" xfId="224"/>
    <cellStyle name="Input 5 2 2 2" xfId="532"/>
    <cellStyle name="Input 5 2 2 2 2" xfId="1099"/>
    <cellStyle name="Input 5 2 2 2 2 2" xfId="1999"/>
    <cellStyle name="Input 5 2 2 2 3" xfId="1515"/>
    <cellStyle name="Input 5 2 2 3" xfId="838"/>
    <cellStyle name="Input 5 2 2 3 2" xfId="1757"/>
    <cellStyle name="Input 5 2 2 4" xfId="1270"/>
    <cellStyle name="Input 5 2 3" xfId="384"/>
    <cellStyle name="Input 5 2 3 2" xfId="649"/>
    <cellStyle name="Input 5 2 3 2 2" xfId="1216"/>
    <cellStyle name="Input 5 2 3 2 2 2" xfId="2116"/>
    <cellStyle name="Input 5 2 3 2 3" xfId="1632"/>
    <cellStyle name="Input 5 2 3 3" xfId="970"/>
    <cellStyle name="Input 5 2 3 3 2" xfId="1874"/>
    <cellStyle name="Input 5 2 3 4" xfId="1387"/>
    <cellStyle name="Input 5 2 4" xfId="450"/>
    <cellStyle name="Input 5 2 4 2" xfId="1020"/>
    <cellStyle name="Input 5 2 4 2 2" xfId="1920"/>
    <cellStyle name="Input 5 2 4 3" xfId="1436"/>
    <cellStyle name="Input 5 2 5" xfId="755"/>
    <cellStyle name="Input 5 2 5 2" xfId="1678"/>
    <cellStyle name="Input 5 2 6" xfId="723"/>
    <cellStyle name="Input 5 3" xfId="223"/>
    <cellStyle name="Input 5 3 2" xfId="531"/>
    <cellStyle name="Input 5 3 2 2" xfId="1098"/>
    <cellStyle name="Input 5 3 2 2 2" xfId="1998"/>
    <cellStyle name="Input 5 3 2 3" xfId="1514"/>
    <cellStyle name="Input 5 3 3" xfId="837"/>
    <cellStyle name="Input 5 3 3 2" xfId="1756"/>
    <cellStyle name="Input 5 3 4" xfId="1269"/>
    <cellStyle name="Input 5 4" xfId="342"/>
    <cellStyle name="Input 5 4 2" xfId="607"/>
    <cellStyle name="Input 5 4 2 2" xfId="1174"/>
    <cellStyle name="Input 5 4 2 2 2" xfId="2074"/>
    <cellStyle name="Input 5 4 2 3" xfId="1590"/>
    <cellStyle name="Input 5 4 3" xfId="928"/>
    <cellStyle name="Input 5 4 3 2" xfId="1832"/>
    <cellStyle name="Input 5 4 4" xfId="1345"/>
    <cellStyle name="Input 5 5" xfId="449"/>
    <cellStyle name="Input 5 5 2" xfId="1019"/>
    <cellStyle name="Input 5 5 2 2" xfId="1919"/>
    <cellStyle name="Input 5 5 3" xfId="1435"/>
    <cellStyle name="Input 5 6" xfId="754"/>
    <cellStyle name="Input 5 6 2" xfId="1677"/>
    <cellStyle name="Input 5 7" xfId="724"/>
    <cellStyle name="Input 6" xfId="113"/>
    <cellStyle name="Input 6 2" xfId="114"/>
    <cellStyle name="Input 6 2 2" xfId="226"/>
    <cellStyle name="Input 6 2 2 2" xfId="534"/>
    <cellStyle name="Input 6 2 2 2 2" xfId="1101"/>
    <cellStyle name="Input 6 2 2 2 2 2" xfId="2001"/>
    <cellStyle name="Input 6 2 2 2 3" xfId="1517"/>
    <cellStyle name="Input 6 2 2 3" xfId="840"/>
    <cellStyle name="Input 6 2 2 3 2" xfId="1759"/>
    <cellStyle name="Input 6 2 2 4" xfId="1272"/>
    <cellStyle name="Input 6 2 3" xfId="392"/>
    <cellStyle name="Input 6 2 3 2" xfId="657"/>
    <cellStyle name="Input 6 2 3 2 2" xfId="1224"/>
    <cellStyle name="Input 6 2 3 2 2 2" xfId="2124"/>
    <cellStyle name="Input 6 2 3 2 3" xfId="1640"/>
    <cellStyle name="Input 6 2 3 3" xfId="978"/>
    <cellStyle name="Input 6 2 3 3 2" xfId="1882"/>
    <cellStyle name="Input 6 2 3 4" xfId="1395"/>
    <cellStyle name="Input 6 2 4" xfId="452"/>
    <cellStyle name="Input 6 2 4 2" xfId="1022"/>
    <cellStyle name="Input 6 2 4 2 2" xfId="1922"/>
    <cellStyle name="Input 6 2 4 3" xfId="1438"/>
    <cellStyle name="Input 6 2 5" xfId="757"/>
    <cellStyle name="Input 6 2 5 2" xfId="1680"/>
    <cellStyle name="Input 6 2 6" xfId="721"/>
    <cellStyle name="Input 6 3" xfId="225"/>
    <cellStyle name="Input 6 3 2" xfId="533"/>
    <cellStyle name="Input 6 3 2 2" xfId="1100"/>
    <cellStyle name="Input 6 3 2 2 2" xfId="2000"/>
    <cellStyle name="Input 6 3 2 3" xfId="1516"/>
    <cellStyle name="Input 6 3 3" xfId="839"/>
    <cellStyle name="Input 6 3 3 2" xfId="1758"/>
    <cellStyle name="Input 6 3 4" xfId="1271"/>
    <cellStyle name="Input 6 4" xfId="350"/>
    <cellStyle name="Input 6 4 2" xfId="615"/>
    <cellStyle name="Input 6 4 2 2" xfId="1182"/>
    <cellStyle name="Input 6 4 2 2 2" xfId="2082"/>
    <cellStyle name="Input 6 4 2 3" xfId="1598"/>
    <cellStyle name="Input 6 4 3" xfId="936"/>
    <cellStyle name="Input 6 4 3 2" xfId="1840"/>
    <cellStyle name="Input 6 4 4" xfId="1353"/>
    <cellStyle name="Input 6 5" xfId="451"/>
    <cellStyle name="Input 6 5 2" xfId="1021"/>
    <cellStyle name="Input 6 5 2 2" xfId="1921"/>
    <cellStyle name="Input 6 5 3" xfId="1437"/>
    <cellStyle name="Input 6 6" xfId="756"/>
    <cellStyle name="Input 6 6 2" xfId="1679"/>
    <cellStyle name="Input 6 7" xfId="722"/>
    <cellStyle name="Input 7" xfId="115"/>
    <cellStyle name="Input 7 2" xfId="116"/>
    <cellStyle name="Input 7 2 2" xfId="228"/>
    <cellStyle name="Input 7 2 2 2" xfId="536"/>
    <cellStyle name="Input 7 2 2 2 2" xfId="1103"/>
    <cellStyle name="Input 7 2 2 2 2 2" xfId="2003"/>
    <cellStyle name="Input 7 2 2 2 3" xfId="1519"/>
    <cellStyle name="Input 7 2 2 3" xfId="842"/>
    <cellStyle name="Input 7 2 2 3 2" xfId="1761"/>
    <cellStyle name="Input 7 2 2 4" xfId="1274"/>
    <cellStyle name="Input 7 2 3" xfId="405"/>
    <cellStyle name="Input 7 2 3 2" xfId="670"/>
    <cellStyle name="Input 7 2 3 2 2" xfId="1237"/>
    <cellStyle name="Input 7 2 3 2 2 2" xfId="2137"/>
    <cellStyle name="Input 7 2 3 2 3" xfId="1653"/>
    <cellStyle name="Input 7 2 3 3" xfId="991"/>
    <cellStyle name="Input 7 2 3 3 2" xfId="1895"/>
    <cellStyle name="Input 7 2 3 4" xfId="1408"/>
    <cellStyle name="Input 7 2 4" xfId="454"/>
    <cellStyle name="Input 7 2 4 2" xfId="1024"/>
    <cellStyle name="Input 7 2 4 2 2" xfId="1924"/>
    <cellStyle name="Input 7 2 4 3" xfId="1440"/>
    <cellStyle name="Input 7 2 5" xfId="759"/>
    <cellStyle name="Input 7 2 5 2" xfId="1682"/>
    <cellStyle name="Input 7 2 6" xfId="720"/>
    <cellStyle name="Input 7 3" xfId="227"/>
    <cellStyle name="Input 7 3 2" xfId="535"/>
    <cellStyle name="Input 7 3 2 2" xfId="1102"/>
    <cellStyle name="Input 7 3 2 2 2" xfId="2002"/>
    <cellStyle name="Input 7 3 2 3" xfId="1518"/>
    <cellStyle name="Input 7 3 3" xfId="841"/>
    <cellStyle name="Input 7 3 3 2" xfId="1760"/>
    <cellStyle name="Input 7 3 4" xfId="1273"/>
    <cellStyle name="Input 7 4" xfId="363"/>
    <cellStyle name="Input 7 4 2" xfId="628"/>
    <cellStyle name="Input 7 4 2 2" xfId="1195"/>
    <cellStyle name="Input 7 4 2 2 2" xfId="2095"/>
    <cellStyle name="Input 7 4 2 3" xfId="1611"/>
    <cellStyle name="Input 7 4 3" xfId="949"/>
    <cellStyle name="Input 7 4 3 2" xfId="1853"/>
    <cellStyle name="Input 7 4 4" xfId="1366"/>
    <cellStyle name="Input 7 5" xfId="453"/>
    <cellStyle name="Input 7 5 2" xfId="1023"/>
    <cellStyle name="Input 7 5 2 2" xfId="1923"/>
    <cellStyle name="Input 7 5 3" xfId="1439"/>
    <cellStyle name="Input 7 6" xfId="758"/>
    <cellStyle name="Input 7 6 2" xfId="1681"/>
    <cellStyle name="Input 7 7" xfId="904"/>
    <cellStyle name="Input 8" xfId="117"/>
    <cellStyle name="Input 8 2" xfId="229"/>
    <cellStyle name="Input 8 2 2" xfId="537"/>
    <cellStyle name="Input 8 2 2 2" xfId="1104"/>
    <cellStyle name="Input 8 2 2 2 2" xfId="2004"/>
    <cellStyle name="Input 8 2 2 3" xfId="1520"/>
    <cellStyle name="Input 8 2 3" xfId="843"/>
    <cellStyle name="Input 8 2 3 2" xfId="1762"/>
    <cellStyle name="Input 8 2 4" xfId="1275"/>
    <cellStyle name="Input 8 3" xfId="369"/>
    <cellStyle name="Input 8 3 2" xfId="634"/>
    <cellStyle name="Input 8 3 2 2" xfId="1201"/>
    <cellStyle name="Input 8 3 2 2 2" xfId="2101"/>
    <cellStyle name="Input 8 3 2 3" xfId="1617"/>
    <cellStyle name="Input 8 3 3" xfId="955"/>
    <cellStyle name="Input 8 3 3 2" xfId="1859"/>
    <cellStyle name="Input 8 3 4" xfId="1372"/>
    <cellStyle name="Input 8 4" xfId="455"/>
    <cellStyle name="Input 8 4 2" xfId="1025"/>
    <cellStyle name="Input 8 4 2 2" xfId="1925"/>
    <cellStyle name="Input 8 4 3" xfId="1441"/>
    <cellStyle name="Input 8 5" xfId="760"/>
    <cellStyle name="Input 8 5 2" xfId="1683"/>
    <cellStyle name="Input 8 6" xfId="719"/>
    <cellStyle name="Input 9" xfId="323"/>
    <cellStyle name="Input 9 2" xfId="592"/>
    <cellStyle name="Input 9 2 2" xfId="1159"/>
    <cellStyle name="Input 9 2 2 2" xfId="2059"/>
    <cellStyle name="Input 9 2 3" xfId="1575"/>
    <cellStyle name="Input 9 3" xfId="913"/>
    <cellStyle name="Input 9 3 2" xfId="1817"/>
    <cellStyle name="Input 9 4" xfId="1330"/>
    <cellStyle name="Linked Cell 2" xfId="324"/>
    <cellStyle name="Neutral 2" xfId="325"/>
    <cellStyle name="Normal" xfId="0" builtinId="0"/>
    <cellStyle name="Normal 10" xfId="413"/>
    <cellStyle name="Normal 10 2" xfId="429"/>
    <cellStyle name="Normal 10 3" xfId="676"/>
    <cellStyle name="Normal 10 4" xfId="997"/>
    <cellStyle name="Normal 10 5" xfId="1414"/>
    <cellStyle name="Normal 11" xfId="118"/>
    <cellStyle name="Normal 12" xfId="428"/>
    <cellStyle name="Normal 12 2" xfId="677"/>
    <cellStyle name="Normal 12 3" xfId="999"/>
    <cellStyle name="Normal 12 4" xfId="1415"/>
    <cellStyle name="Normal 2" xfId="119"/>
    <cellStyle name="Normal 2 2" xfId="2193"/>
    <cellStyle name="Normal 3" xfId="120"/>
    <cellStyle name="Normal 3 2" xfId="6"/>
    <cellStyle name="Normal 3 2 2" xfId="2192"/>
    <cellStyle name="Normal 3 3" xfId="121"/>
    <cellStyle name="Normal 3 4" xfId="122"/>
    <cellStyle name="Normal 3 5" xfId="123"/>
    <cellStyle name="Normal 3 6" xfId="124"/>
    <cellStyle name="Normal 3 7" xfId="125"/>
    <cellStyle name="Normal 3 8" xfId="126"/>
    <cellStyle name="Normal 4" xfId="127"/>
    <cellStyle name="Normal 4 2" xfId="2194"/>
    <cellStyle name="Normal 5" xfId="128"/>
    <cellStyle name="Normal 6" xfId="198"/>
    <cellStyle name="Normal 6 2" xfId="283"/>
    <cellStyle name="Normal 6 3" xfId="509"/>
    <cellStyle name="Normal 6 4" xfId="814"/>
    <cellStyle name="Normal 6 5" xfId="1247"/>
    <cellStyle name="Normal 7" xfId="202"/>
    <cellStyle name="Normal 7 2" xfId="284"/>
    <cellStyle name="Normal 7 3" xfId="510"/>
    <cellStyle name="Normal 7 4" xfId="816"/>
    <cellStyle name="Normal 7 5" xfId="1248"/>
    <cellStyle name="Normal 8" xfId="203"/>
    <cellStyle name="Normal 8 2" xfId="285"/>
    <cellStyle name="Normal 8 3" xfId="511"/>
    <cellStyle name="Normal 8 4" xfId="817"/>
    <cellStyle name="Normal 8 5" xfId="1249"/>
    <cellStyle name="Normal 9" xfId="410"/>
    <cellStyle name="Normal 9 2" xfId="675"/>
    <cellStyle name="Normal 9 3" xfId="996"/>
    <cellStyle name="Normal 9 4" xfId="1413"/>
    <cellStyle name="Normal_)" xfId="200"/>
    <cellStyle name="Normal_) 2" xfId="286"/>
    <cellStyle name="Normal_)_1.4WinrF" xfId="415"/>
    <cellStyle name="Normal_)_1.4WinrF_General Calc's" xfId="418"/>
    <cellStyle name="Normal_)_New1.4Winr" xfId="414"/>
    <cellStyle name="Normal_)_New1.4Winr_General Calc's" xfId="419"/>
    <cellStyle name="Normal_Beer Kit Calc's " xfId="420"/>
    <cellStyle name="Normal_Beer Scaling 2" xfId="287"/>
    <cellStyle name="Normal_General Calc's" xfId="421"/>
    <cellStyle name="Normal_General Calc's_1" xfId="422"/>
    <cellStyle name="Normal_Peter's B &amp; W Ca" xfId="1"/>
    <cellStyle name="Normal_Peter's B &amp; W Ca 2" xfId="288"/>
    <cellStyle name="Normal_Peter's B &amp; W Ca_1112MASTERbeer" xfId="411"/>
    <cellStyle name="Normal_Peter's B &amp; W Ca_Extract" xfId="5"/>
    <cellStyle name="Normal_Peter's B &amp; W Ca_General Calc's" xfId="423"/>
    <cellStyle name="Normal_Peter's B &amp; W Ca_Primer" xfId="412"/>
    <cellStyle name="Normal_Pete's YoBrew Ca" xfId="2"/>
    <cellStyle name="Normal_Pete's YoBrew Ca 2" xfId="424"/>
    <cellStyle name="Normal_Pete's YoBrew Ca 3" xfId="2191"/>
    <cellStyle name="Normal_Pete's YoBrew Ca_Beer Kit Calc's" xfId="425"/>
    <cellStyle name="Normal_Pete's YoBrew Ca_Beer Scaling 2" xfId="289"/>
    <cellStyle name="Normal_Pete's YoBrew Calcs v1.12" xfId="201"/>
    <cellStyle name="Normal_Petes_YoBrew_Cal" xfId="426"/>
    <cellStyle name="Normal_Primer 2" xfId="2144"/>
    <cellStyle name="Normal_yeast average ef" xfId="7"/>
    <cellStyle name="Normal_YOBREW Beer Prim" xfId="4"/>
    <cellStyle name="Note 10" xfId="326"/>
    <cellStyle name="Note 10 2" xfId="593"/>
    <cellStyle name="Note 10 2 2" xfId="1160"/>
    <cellStyle name="Note 10 2 2 2" xfId="2060"/>
    <cellStyle name="Note 10 2 3" xfId="1576"/>
    <cellStyle name="Note 10 3" xfId="914"/>
    <cellStyle name="Note 10 3 2" xfId="1818"/>
    <cellStyle name="Note 10 4" xfId="1331"/>
    <cellStyle name="Note 2" xfId="129"/>
    <cellStyle name="Note 2 10" xfId="327"/>
    <cellStyle name="Note 2 10 2" xfId="594"/>
    <cellStyle name="Note 2 10 2 2" xfId="1161"/>
    <cellStyle name="Note 2 10 2 2 2" xfId="2061"/>
    <cellStyle name="Note 2 10 2 3" xfId="1577"/>
    <cellStyle name="Note 2 10 3" xfId="915"/>
    <cellStyle name="Note 2 10 3 2" xfId="1819"/>
    <cellStyle name="Note 2 10 4" xfId="1332"/>
    <cellStyle name="Note 2 11" xfId="456"/>
    <cellStyle name="Note 2 11 2" xfId="1026"/>
    <cellStyle name="Note 2 11 2 2" xfId="1926"/>
    <cellStyle name="Note 2 11 3" xfId="1442"/>
    <cellStyle name="Note 2 12" xfId="761"/>
    <cellStyle name="Note 2 12 2" xfId="1684"/>
    <cellStyle name="Note 2 13" xfId="903"/>
    <cellStyle name="Note 2 2" xfId="130"/>
    <cellStyle name="Note 2 2 2" xfId="131"/>
    <cellStyle name="Note 2 2 2 2" xfId="232"/>
    <cellStyle name="Note 2 2 2 2 2" xfId="540"/>
    <cellStyle name="Note 2 2 2 2 2 2" xfId="1107"/>
    <cellStyle name="Note 2 2 2 2 2 2 2" xfId="2007"/>
    <cellStyle name="Note 2 2 2 2 2 3" xfId="1523"/>
    <cellStyle name="Note 2 2 2 2 3" xfId="846"/>
    <cellStyle name="Note 2 2 2 2 3 2" xfId="1765"/>
    <cellStyle name="Note 2 2 2 2 4" xfId="1278"/>
    <cellStyle name="Note 2 2 2 3" xfId="377"/>
    <cellStyle name="Note 2 2 2 3 2" xfId="642"/>
    <cellStyle name="Note 2 2 2 3 2 2" xfId="1209"/>
    <cellStyle name="Note 2 2 2 3 2 2 2" xfId="2109"/>
    <cellStyle name="Note 2 2 2 3 2 3" xfId="1625"/>
    <cellStyle name="Note 2 2 2 3 3" xfId="963"/>
    <cellStyle name="Note 2 2 2 3 3 2" xfId="1867"/>
    <cellStyle name="Note 2 2 2 3 4" xfId="1380"/>
    <cellStyle name="Note 2 2 2 4" xfId="458"/>
    <cellStyle name="Note 2 2 2 4 2" xfId="1028"/>
    <cellStyle name="Note 2 2 2 4 2 2" xfId="1928"/>
    <cellStyle name="Note 2 2 2 4 3" xfId="1444"/>
    <cellStyle name="Note 2 2 2 5" xfId="763"/>
    <cellStyle name="Note 2 2 2 5 2" xfId="1686"/>
    <cellStyle name="Note 2 2 2 6" xfId="717"/>
    <cellStyle name="Note 2 2 3" xfId="231"/>
    <cellStyle name="Note 2 2 3 2" xfId="539"/>
    <cellStyle name="Note 2 2 3 2 2" xfId="1106"/>
    <cellStyle name="Note 2 2 3 2 2 2" xfId="2006"/>
    <cellStyle name="Note 2 2 3 2 3" xfId="1522"/>
    <cellStyle name="Note 2 2 3 3" xfId="845"/>
    <cellStyle name="Note 2 2 3 3 2" xfId="1764"/>
    <cellStyle name="Note 2 2 3 4" xfId="1277"/>
    <cellStyle name="Note 2 2 4" xfId="335"/>
    <cellStyle name="Note 2 2 4 2" xfId="600"/>
    <cellStyle name="Note 2 2 4 2 2" xfId="1167"/>
    <cellStyle name="Note 2 2 4 2 2 2" xfId="2067"/>
    <cellStyle name="Note 2 2 4 2 3" xfId="1583"/>
    <cellStyle name="Note 2 2 4 3" xfId="921"/>
    <cellStyle name="Note 2 2 4 3 2" xfId="1825"/>
    <cellStyle name="Note 2 2 4 4" xfId="1338"/>
    <cellStyle name="Note 2 2 5" xfId="457"/>
    <cellStyle name="Note 2 2 5 2" xfId="1027"/>
    <cellStyle name="Note 2 2 5 2 2" xfId="1927"/>
    <cellStyle name="Note 2 2 5 3" xfId="1443"/>
    <cellStyle name="Note 2 2 6" xfId="762"/>
    <cellStyle name="Note 2 2 6 2" xfId="1685"/>
    <cellStyle name="Note 2 2 7" xfId="718"/>
    <cellStyle name="Note 2 3" xfId="132"/>
    <cellStyle name="Note 2 3 2" xfId="133"/>
    <cellStyle name="Note 2 3 2 2" xfId="234"/>
    <cellStyle name="Note 2 3 2 2 2" xfId="542"/>
    <cellStyle name="Note 2 3 2 2 2 2" xfId="1109"/>
    <cellStyle name="Note 2 3 2 2 2 2 2" xfId="2009"/>
    <cellStyle name="Note 2 3 2 2 2 3" xfId="1525"/>
    <cellStyle name="Note 2 3 2 2 3" xfId="848"/>
    <cellStyle name="Note 2 3 2 2 3 2" xfId="1767"/>
    <cellStyle name="Note 2 3 2 2 4" xfId="1280"/>
    <cellStyle name="Note 2 3 2 3" xfId="387"/>
    <cellStyle name="Note 2 3 2 3 2" xfId="652"/>
    <cellStyle name="Note 2 3 2 3 2 2" xfId="1219"/>
    <cellStyle name="Note 2 3 2 3 2 2 2" xfId="2119"/>
    <cellStyle name="Note 2 3 2 3 2 3" xfId="1635"/>
    <cellStyle name="Note 2 3 2 3 3" xfId="973"/>
    <cellStyle name="Note 2 3 2 3 3 2" xfId="1877"/>
    <cellStyle name="Note 2 3 2 3 4" xfId="1390"/>
    <cellStyle name="Note 2 3 2 4" xfId="460"/>
    <cellStyle name="Note 2 3 2 4 2" xfId="1030"/>
    <cellStyle name="Note 2 3 2 4 2 2" xfId="1930"/>
    <cellStyle name="Note 2 3 2 4 3" xfId="1446"/>
    <cellStyle name="Note 2 3 2 5" xfId="765"/>
    <cellStyle name="Note 2 3 2 5 2" xfId="1688"/>
    <cellStyle name="Note 2 3 2 6" xfId="715"/>
    <cellStyle name="Note 2 3 3" xfId="233"/>
    <cellStyle name="Note 2 3 3 2" xfId="541"/>
    <cellStyle name="Note 2 3 3 2 2" xfId="1108"/>
    <cellStyle name="Note 2 3 3 2 2 2" xfId="2008"/>
    <cellStyle name="Note 2 3 3 2 3" xfId="1524"/>
    <cellStyle name="Note 2 3 3 3" xfId="847"/>
    <cellStyle name="Note 2 3 3 3 2" xfId="1766"/>
    <cellStyle name="Note 2 3 3 4" xfId="1279"/>
    <cellStyle name="Note 2 3 4" xfId="345"/>
    <cellStyle name="Note 2 3 4 2" xfId="610"/>
    <cellStyle name="Note 2 3 4 2 2" xfId="1177"/>
    <cellStyle name="Note 2 3 4 2 2 2" xfId="2077"/>
    <cellStyle name="Note 2 3 4 2 3" xfId="1593"/>
    <cellStyle name="Note 2 3 4 3" xfId="931"/>
    <cellStyle name="Note 2 3 4 3 2" xfId="1835"/>
    <cellStyle name="Note 2 3 4 4" xfId="1348"/>
    <cellStyle name="Note 2 3 5" xfId="459"/>
    <cellStyle name="Note 2 3 5 2" xfId="1029"/>
    <cellStyle name="Note 2 3 5 2 2" xfId="1929"/>
    <cellStyle name="Note 2 3 5 3" xfId="1445"/>
    <cellStyle name="Note 2 3 6" xfId="764"/>
    <cellStyle name="Note 2 3 6 2" xfId="1687"/>
    <cellStyle name="Note 2 3 7" xfId="716"/>
    <cellStyle name="Note 2 4" xfId="134"/>
    <cellStyle name="Note 2 4 2" xfId="135"/>
    <cellStyle name="Note 2 4 2 2" xfId="236"/>
    <cellStyle name="Note 2 4 2 2 2" xfId="544"/>
    <cellStyle name="Note 2 4 2 2 2 2" xfId="1111"/>
    <cellStyle name="Note 2 4 2 2 2 2 2" xfId="2011"/>
    <cellStyle name="Note 2 4 2 2 2 3" xfId="1527"/>
    <cellStyle name="Note 2 4 2 2 3" xfId="850"/>
    <cellStyle name="Note 2 4 2 2 3 2" xfId="1769"/>
    <cellStyle name="Note 2 4 2 2 4" xfId="1282"/>
    <cellStyle name="Note 2 4 2 3" xfId="394"/>
    <cellStyle name="Note 2 4 2 3 2" xfId="659"/>
    <cellStyle name="Note 2 4 2 3 2 2" xfId="1226"/>
    <cellStyle name="Note 2 4 2 3 2 2 2" xfId="2126"/>
    <cellStyle name="Note 2 4 2 3 2 3" xfId="1642"/>
    <cellStyle name="Note 2 4 2 3 3" xfId="980"/>
    <cellStyle name="Note 2 4 2 3 3 2" xfId="1884"/>
    <cellStyle name="Note 2 4 2 3 4" xfId="1397"/>
    <cellStyle name="Note 2 4 2 4" xfId="462"/>
    <cellStyle name="Note 2 4 2 4 2" xfId="1032"/>
    <cellStyle name="Note 2 4 2 4 2 2" xfId="1932"/>
    <cellStyle name="Note 2 4 2 4 3" xfId="1448"/>
    <cellStyle name="Note 2 4 2 5" xfId="767"/>
    <cellStyle name="Note 2 4 2 5 2" xfId="1690"/>
    <cellStyle name="Note 2 4 2 6" xfId="713"/>
    <cellStyle name="Note 2 4 3" xfId="235"/>
    <cellStyle name="Note 2 4 3 2" xfId="543"/>
    <cellStyle name="Note 2 4 3 2 2" xfId="1110"/>
    <cellStyle name="Note 2 4 3 2 2 2" xfId="2010"/>
    <cellStyle name="Note 2 4 3 2 3" xfId="1526"/>
    <cellStyle name="Note 2 4 3 3" xfId="849"/>
    <cellStyle name="Note 2 4 3 3 2" xfId="1768"/>
    <cellStyle name="Note 2 4 3 4" xfId="1281"/>
    <cellStyle name="Note 2 4 4" xfId="352"/>
    <cellStyle name="Note 2 4 4 2" xfId="617"/>
    <cellStyle name="Note 2 4 4 2 2" xfId="1184"/>
    <cellStyle name="Note 2 4 4 2 2 2" xfId="2084"/>
    <cellStyle name="Note 2 4 4 2 3" xfId="1600"/>
    <cellStyle name="Note 2 4 4 3" xfId="938"/>
    <cellStyle name="Note 2 4 4 3 2" xfId="1842"/>
    <cellStyle name="Note 2 4 4 4" xfId="1355"/>
    <cellStyle name="Note 2 4 5" xfId="461"/>
    <cellStyle name="Note 2 4 5 2" xfId="1031"/>
    <cellStyle name="Note 2 4 5 2 2" xfId="1931"/>
    <cellStyle name="Note 2 4 5 3" xfId="1447"/>
    <cellStyle name="Note 2 4 6" xfId="766"/>
    <cellStyle name="Note 2 4 6 2" xfId="1689"/>
    <cellStyle name="Note 2 4 7" xfId="714"/>
    <cellStyle name="Note 2 5" xfId="136"/>
    <cellStyle name="Note 2 5 2" xfId="137"/>
    <cellStyle name="Note 2 5 2 2" xfId="238"/>
    <cellStyle name="Note 2 5 2 2 2" xfId="546"/>
    <cellStyle name="Note 2 5 2 2 2 2" xfId="1113"/>
    <cellStyle name="Note 2 5 2 2 2 2 2" xfId="2013"/>
    <cellStyle name="Note 2 5 2 2 2 3" xfId="1529"/>
    <cellStyle name="Note 2 5 2 2 3" xfId="852"/>
    <cellStyle name="Note 2 5 2 2 3 2" xfId="1771"/>
    <cellStyle name="Note 2 5 2 2 4" xfId="1284"/>
    <cellStyle name="Note 2 5 2 3" xfId="398"/>
    <cellStyle name="Note 2 5 2 3 2" xfId="663"/>
    <cellStyle name="Note 2 5 2 3 2 2" xfId="1230"/>
    <cellStyle name="Note 2 5 2 3 2 2 2" xfId="2130"/>
    <cellStyle name="Note 2 5 2 3 2 3" xfId="1646"/>
    <cellStyle name="Note 2 5 2 3 3" xfId="984"/>
    <cellStyle name="Note 2 5 2 3 3 2" xfId="1888"/>
    <cellStyle name="Note 2 5 2 3 4" xfId="1401"/>
    <cellStyle name="Note 2 5 2 4" xfId="464"/>
    <cellStyle name="Note 2 5 2 4 2" xfId="1034"/>
    <cellStyle name="Note 2 5 2 4 2 2" xfId="1934"/>
    <cellStyle name="Note 2 5 2 4 3" xfId="1450"/>
    <cellStyle name="Note 2 5 2 5" xfId="769"/>
    <cellStyle name="Note 2 5 2 5 2" xfId="1692"/>
    <cellStyle name="Note 2 5 2 6" xfId="712"/>
    <cellStyle name="Note 2 5 3" xfId="237"/>
    <cellStyle name="Note 2 5 3 2" xfId="545"/>
    <cellStyle name="Note 2 5 3 2 2" xfId="1112"/>
    <cellStyle name="Note 2 5 3 2 2 2" xfId="2012"/>
    <cellStyle name="Note 2 5 3 2 3" xfId="1528"/>
    <cellStyle name="Note 2 5 3 3" xfId="851"/>
    <cellStyle name="Note 2 5 3 3 2" xfId="1770"/>
    <cellStyle name="Note 2 5 3 4" xfId="1283"/>
    <cellStyle name="Note 2 5 4" xfId="356"/>
    <cellStyle name="Note 2 5 4 2" xfId="621"/>
    <cellStyle name="Note 2 5 4 2 2" xfId="1188"/>
    <cellStyle name="Note 2 5 4 2 2 2" xfId="2088"/>
    <cellStyle name="Note 2 5 4 2 3" xfId="1604"/>
    <cellStyle name="Note 2 5 4 3" xfId="942"/>
    <cellStyle name="Note 2 5 4 3 2" xfId="1846"/>
    <cellStyle name="Note 2 5 4 4" xfId="1359"/>
    <cellStyle name="Note 2 5 5" xfId="463"/>
    <cellStyle name="Note 2 5 5 2" xfId="1033"/>
    <cellStyle name="Note 2 5 5 2 2" xfId="1933"/>
    <cellStyle name="Note 2 5 5 3" xfId="1449"/>
    <cellStyle name="Note 2 5 6" xfId="768"/>
    <cellStyle name="Note 2 5 6 2" xfId="1691"/>
    <cellStyle name="Note 2 5 7" xfId="902"/>
    <cellStyle name="Note 2 6" xfId="138"/>
    <cellStyle name="Note 2 6 2" xfId="139"/>
    <cellStyle name="Note 2 6 2 2" xfId="240"/>
    <cellStyle name="Note 2 6 2 2 2" xfId="548"/>
    <cellStyle name="Note 2 6 2 2 2 2" xfId="1115"/>
    <cellStyle name="Note 2 6 2 2 2 2 2" xfId="2015"/>
    <cellStyle name="Note 2 6 2 2 2 3" xfId="1531"/>
    <cellStyle name="Note 2 6 2 2 3" xfId="854"/>
    <cellStyle name="Note 2 6 2 2 3 2" xfId="1773"/>
    <cellStyle name="Note 2 6 2 2 4" xfId="1286"/>
    <cellStyle name="Note 2 6 2 3" xfId="402"/>
    <cellStyle name="Note 2 6 2 3 2" xfId="667"/>
    <cellStyle name="Note 2 6 2 3 2 2" xfId="1234"/>
    <cellStyle name="Note 2 6 2 3 2 2 2" xfId="2134"/>
    <cellStyle name="Note 2 6 2 3 2 3" xfId="1650"/>
    <cellStyle name="Note 2 6 2 3 3" xfId="988"/>
    <cellStyle name="Note 2 6 2 3 3 2" xfId="1892"/>
    <cellStyle name="Note 2 6 2 3 4" xfId="1405"/>
    <cellStyle name="Note 2 6 2 4" xfId="466"/>
    <cellStyle name="Note 2 6 2 4 2" xfId="1036"/>
    <cellStyle name="Note 2 6 2 4 2 2" xfId="1936"/>
    <cellStyle name="Note 2 6 2 4 3" xfId="1452"/>
    <cellStyle name="Note 2 6 2 5" xfId="771"/>
    <cellStyle name="Note 2 6 2 5 2" xfId="1694"/>
    <cellStyle name="Note 2 6 2 6" xfId="710"/>
    <cellStyle name="Note 2 6 3" xfId="239"/>
    <cellStyle name="Note 2 6 3 2" xfId="547"/>
    <cellStyle name="Note 2 6 3 2 2" xfId="1114"/>
    <cellStyle name="Note 2 6 3 2 2 2" xfId="2014"/>
    <cellStyle name="Note 2 6 3 2 3" xfId="1530"/>
    <cellStyle name="Note 2 6 3 3" xfId="853"/>
    <cellStyle name="Note 2 6 3 3 2" xfId="1772"/>
    <cellStyle name="Note 2 6 3 4" xfId="1285"/>
    <cellStyle name="Note 2 6 4" xfId="360"/>
    <cellStyle name="Note 2 6 4 2" xfId="625"/>
    <cellStyle name="Note 2 6 4 2 2" xfId="1192"/>
    <cellStyle name="Note 2 6 4 2 2 2" xfId="2092"/>
    <cellStyle name="Note 2 6 4 2 3" xfId="1608"/>
    <cellStyle name="Note 2 6 4 3" xfId="946"/>
    <cellStyle name="Note 2 6 4 3 2" xfId="1850"/>
    <cellStyle name="Note 2 6 4 4" xfId="1363"/>
    <cellStyle name="Note 2 6 5" xfId="465"/>
    <cellStyle name="Note 2 6 5 2" xfId="1035"/>
    <cellStyle name="Note 2 6 5 2 2" xfId="1935"/>
    <cellStyle name="Note 2 6 5 3" xfId="1451"/>
    <cellStyle name="Note 2 6 6" xfId="770"/>
    <cellStyle name="Note 2 6 6 2" xfId="1693"/>
    <cellStyle name="Note 2 6 7" xfId="711"/>
    <cellStyle name="Note 2 7" xfId="140"/>
    <cellStyle name="Note 2 7 2" xfId="141"/>
    <cellStyle name="Note 2 7 2 2" xfId="242"/>
    <cellStyle name="Note 2 7 2 2 2" xfId="550"/>
    <cellStyle name="Note 2 7 2 2 2 2" xfId="1117"/>
    <cellStyle name="Note 2 7 2 2 2 2 2" xfId="2017"/>
    <cellStyle name="Note 2 7 2 2 2 3" xfId="1533"/>
    <cellStyle name="Note 2 7 2 2 3" xfId="856"/>
    <cellStyle name="Note 2 7 2 2 3 2" xfId="1775"/>
    <cellStyle name="Note 2 7 2 2 4" xfId="1288"/>
    <cellStyle name="Note 2 7 2 3" xfId="407"/>
    <cellStyle name="Note 2 7 2 3 2" xfId="672"/>
    <cellStyle name="Note 2 7 2 3 2 2" xfId="1239"/>
    <cellStyle name="Note 2 7 2 3 2 2 2" xfId="2139"/>
    <cellStyle name="Note 2 7 2 3 2 3" xfId="1655"/>
    <cellStyle name="Note 2 7 2 3 3" xfId="993"/>
    <cellStyle name="Note 2 7 2 3 3 2" xfId="1897"/>
    <cellStyle name="Note 2 7 2 3 4" xfId="1410"/>
    <cellStyle name="Note 2 7 2 4" xfId="468"/>
    <cellStyle name="Note 2 7 2 4 2" xfId="1038"/>
    <cellStyle name="Note 2 7 2 4 2 2" xfId="1938"/>
    <cellStyle name="Note 2 7 2 4 3" xfId="1454"/>
    <cellStyle name="Note 2 7 2 5" xfId="773"/>
    <cellStyle name="Note 2 7 2 5 2" xfId="1696"/>
    <cellStyle name="Note 2 7 2 6" xfId="708"/>
    <cellStyle name="Note 2 7 3" xfId="241"/>
    <cellStyle name="Note 2 7 3 2" xfId="549"/>
    <cellStyle name="Note 2 7 3 2 2" xfId="1116"/>
    <cellStyle name="Note 2 7 3 2 2 2" xfId="2016"/>
    <cellStyle name="Note 2 7 3 2 3" xfId="1532"/>
    <cellStyle name="Note 2 7 3 3" xfId="855"/>
    <cellStyle name="Note 2 7 3 3 2" xfId="1774"/>
    <cellStyle name="Note 2 7 3 4" xfId="1287"/>
    <cellStyle name="Note 2 7 4" xfId="365"/>
    <cellStyle name="Note 2 7 4 2" xfId="630"/>
    <cellStyle name="Note 2 7 4 2 2" xfId="1197"/>
    <cellStyle name="Note 2 7 4 2 2 2" xfId="2097"/>
    <cellStyle name="Note 2 7 4 2 3" xfId="1613"/>
    <cellStyle name="Note 2 7 4 3" xfId="951"/>
    <cellStyle name="Note 2 7 4 3 2" xfId="1855"/>
    <cellStyle name="Note 2 7 4 4" xfId="1368"/>
    <cellStyle name="Note 2 7 5" xfId="467"/>
    <cellStyle name="Note 2 7 5 2" xfId="1037"/>
    <cellStyle name="Note 2 7 5 2 2" xfId="1937"/>
    <cellStyle name="Note 2 7 5 3" xfId="1453"/>
    <cellStyle name="Note 2 7 6" xfId="772"/>
    <cellStyle name="Note 2 7 6 2" xfId="1695"/>
    <cellStyle name="Note 2 7 7" xfId="709"/>
    <cellStyle name="Note 2 8" xfId="142"/>
    <cellStyle name="Note 2 8 2" xfId="243"/>
    <cellStyle name="Note 2 8 2 2" xfId="551"/>
    <cellStyle name="Note 2 8 2 2 2" xfId="1118"/>
    <cellStyle name="Note 2 8 2 2 2 2" xfId="2018"/>
    <cellStyle name="Note 2 8 2 2 3" xfId="1534"/>
    <cellStyle name="Note 2 8 2 3" xfId="857"/>
    <cellStyle name="Note 2 8 2 3 2" xfId="1776"/>
    <cellStyle name="Note 2 8 2 4" xfId="1289"/>
    <cellStyle name="Note 2 8 3" xfId="371"/>
    <cellStyle name="Note 2 8 3 2" xfId="636"/>
    <cellStyle name="Note 2 8 3 2 2" xfId="1203"/>
    <cellStyle name="Note 2 8 3 2 2 2" xfId="2103"/>
    <cellStyle name="Note 2 8 3 2 3" xfId="1619"/>
    <cellStyle name="Note 2 8 3 3" xfId="957"/>
    <cellStyle name="Note 2 8 3 3 2" xfId="1861"/>
    <cellStyle name="Note 2 8 3 4" xfId="1374"/>
    <cellStyle name="Note 2 8 4" xfId="469"/>
    <cellStyle name="Note 2 8 4 2" xfId="1039"/>
    <cellStyle name="Note 2 8 4 2 2" xfId="1939"/>
    <cellStyle name="Note 2 8 4 3" xfId="1455"/>
    <cellStyle name="Note 2 8 5" xfId="774"/>
    <cellStyle name="Note 2 8 5 2" xfId="1697"/>
    <cellStyle name="Note 2 8 6" xfId="707"/>
    <cellStyle name="Note 2 9" xfId="230"/>
    <cellStyle name="Note 2 9 2" xfId="538"/>
    <cellStyle name="Note 2 9 2 2" xfId="1105"/>
    <cellStyle name="Note 2 9 2 2 2" xfId="2005"/>
    <cellStyle name="Note 2 9 2 3" xfId="1521"/>
    <cellStyle name="Note 2 9 3" xfId="844"/>
    <cellStyle name="Note 2 9 3 2" xfId="1763"/>
    <cellStyle name="Note 2 9 4" xfId="1276"/>
    <cellStyle name="Note 3" xfId="143"/>
    <cellStyle name="Note 3 2" xfId="144"/>
    <cellStyle name="Note 3 2 2" xfId="245"/>
    <cellStyle name="Note 3 2 2 2" xfId="553"/>
    <cellStyle name="Note 3 2 2 2 2" xfId="1120"/>
    <cellStyle name="Note 3 2 2 2 2 2" xfId="2020"/>
    <cellStyle name="Note 3 2 2 2 3" xfId="1536"/>
    <cellStyle name="Note 3 2 2 3" xfId="859"/>
    <cellStyle name="Note 3 2 2 3 2" xfId="1778"/>
    <cellStyle name="Note 3 2 2 4" xfId="1291"/>
    <cellStyle name="Note 3 2 3" xfId="376"/>
    <cellStyle name="Note 3 2 3 2" xfId="641"/>
    <cellStyle name="Note 3 2 3 2 2" xfId="1208"/>
    <cellStyle name="Note 3 2 3 2 2 2" xfId="2108"/>
    <cellStyle name="Note 3 2 3 2 3" xfId="1624"/>
    <cellStyle name="Note 3 2 3 3" xfId="962"/>
    <cellStyle name="Note 3 2 3 3 2" xfId="1866"/>
    <cellStyle name="Note 3 2 3 4" xfId="1379"/>
    <cellStyle name="Note 3 2 4" xfId="471"/>
    <cellStyle name="Note 3 2 4 2" xfId="1041"/>
    <cellStyle name="Note 3 2 4 2 2" xfId="1941"/>
    <cellStyle name="Note 3 2 4 3" xfId="1457"/>
    <cellStyle name="Note 3 2 5" xfId="776"/>
    <cellStyle name="Note 3 2 5 2" xfId="1699"/>
    <cellStyle name="Note 3 2 6" xfId="706"/>
    <cellStyle name="Note 3 3" xfId="244"/>
    <cellStyle name="Note 3 3 2" xfId="552"/>
    <cellStyle name="Note 3 3 2 2" xfId="1119"/>
    <cellStyle name="Note 3 3 2 2 2" xfId="2019"/>
    <cellStyle name="Note 3 3 2 3" xfId="1535"/>
    <cellStyle name="Note 3 3 3" xfId="858"/>
    <cellStyle name="Note 3 3 3 2" xfId="1777"/>
    <cellStyle name="Note 3 3 4" xfId="1290"/>
    <cellStyle name="Note 3 4" xfId="334"/>
    <cellStyle name="Note 3 4 2" xfId="599"/>
    <cellStyle name="Note 3 4 2 2" xfId="1166"/>
    <cellStyle name="Note 3 4 2 2 2" xfId="2066"/>
    <cellStyle name="Note 3 4 2 3" xfId="1582"/>
    <cellStyle name="Note 3 4 3" xfId="920"/>
    <cellStyle name="Note 3 4 3 2" xfId="1824"/>
    <cellStyle name="Note 3 4 4" xfId="1337"/>
    <cellStyle name="Note 3 5" xfId="470"/>
    <cellStyle name="Note 3 5 2" xfId="1040"/>
    <cellStyle name="Note 3 5 2 2" xfId="1940"/>
    <cellStyle name="Note 3 5 3" xfId="1456"/>
    <cellStyle name="Note 3 6" xfId="775"/>
    <cellStyle name="Note 3 6 2" xfId="1698"/>
    <cellStyle name="Note 3 7" xfId="901"/>
    <cellStyle name="Note 4" xfId="145"/>
    <cellStyle name="Note 4 2" xfId="146"/>
    <cellStyle name="Note 4 2 2" xfId="247"/>
    <cellStyle name="Note 4 2 2 2" xfId="555"/>
    <cellStyle name="Note 4 2 2 2 2" xfId="1122"/>
    <cellStyle name="Note 4 2 2 2 2 2" xfId="2022"/>
    <cellStyle name="Note 4 2 2 2 3" xfId="1538"/>
    <cellStyle name="Note 4 2 2 3" xfId="861"/>
    <cellStyle name="Note 4 2 2 3 2" xfId="1780"/>
    <cellStyle name="Note 4 2 2 4" xfId="1293"/>
    <cellStyle name="Note 4 2 3" xfId="386"/>
    <cellStyle name="Note 4 2 3 2" xfId="651"/>
    <cellStyle name="Note 4 2 3 2 2" xfId="1218"/>
    <cellStyle name="Note 4 2 3 2 2 2" xfId="2118"/>
    <cellStyle name="Note 4 2 3 2 3" xfId="1634"/>
    <cellStyle name="Note 4 2 3 3" xfId="972"/>
    <cellStyle name="Note 4 2 3 3 2" xfId="1876"/>
    <cellStyle name="Note 4 2 3 4" xfId="1389"/>
    <cellStyle name="Note 4 2 4" xfId="473"/>
    <cellStyle name="Note 4 2 4 2" xfId="1043"/>
    <cellStyle name="Note 4 2 4 2 2" xfId="1943"/>
    <cellStyle name="Note 4 2 4 3" xfId="1459"/>
    <cellStyle name="Note 4 2 5" xfId="778"/>
    <cellStyle name="Note 4 2 5 2" xfId="1701"/>
    <cellStyle name="Note 4 2 6" xfId="704"/>
    <cellStyle name="Note 4 3" xfId="246"/>
    <cellStyle name="Note 4 3 2" xfId="554"/>
    <cellStyle name="Note 4 3 2 2" xfId="1121"/>
    <cellStyle name="Note 4 3 2 2 2" xfId="2021"/>
    <cellStyle name="Note 4 3 2 3" xfId="1537"/>
    <cellStyle name="Note 4 3 3" xfId="860"/>
    <cellStyle name="Note 4 3 3 2" xfId="1779"/>
    <cellStyle name="Note 4 3 4" xfId="1292"/>
    <cellStyle name="Note 4 4" xfId="344"/>
    <cellStyle name="Note 4 4 2" xfId="609"/>
    <cellStyle name="Note 4 4 2 2" xfId="1176"/>
    <cellStyle name="Note 4 4 2 2 2" xfId="2076"/>
    <cellStyle name="Note 4 4 2 3" xfId="1592"/>
    <cellStyle name="Note 4 4 3" xfId="930"/>
    <cellStyle name="Note 4 4 3 2" xfId="1834"/>
    <cellStyle name="Note 4 4 4" xfId="1347"/>
    <cellStyle name="Note 4 5" xfId="472"/>
    <cellStyle name="Note 4 5 2" xfId="1042"/>
    <cellStyle name="Note 4 5 2 2" xfId="1942"/>
    <cellStyle name="Note 4 5 3" xfId="1458"/>
    <cellStyle name="Note 4 6" xfId="777"/>
    <cellStyle name="Note 4 6 2" xfId="1700"/>
    <cellStyle name="Note 4 7" xfId="705"/>
    <cellStyle name="Note 5" xfId="147"/>
    <cellStyle name="Note 5 2" xfId="148"/>
    <cellStyle name="Note 5 2 2" xfId="249"/>
    <cellStyle name="Note 5 2 2 2" xfId="557"/>
    <cellStyle name="Note 5 2 2 2 2" xfId="1124"/>
    <cellStyle name="Note 5 2 2 2 2 2" xfId="2024"/>
    <cellStyle name="Note 5 2 2 2 3" xfId="1540"/>
    <cellStyle name="Note 5 2 2 3" xfId="863"/>
    <cellStyle name="Note 5 2 2 3 2" xfId="1782"/>
    <cellStyle name="Note 5 2 2 4" xfId="1295"/>
    <cellStyle name="Note 5 2 3" xfId="393"/>
    <cellStyle name="Note 5 2 3 2" xfId="658"/>
    <cellStyle name="Note 5 2 3 2 2" xfId="1225"/>
    <cellStyle name="Note 5 2 3 2 2 2" xfId="2125"/>
    <cellStyle name="Note 5 2 3 2 3" xfId="1641"/>
    <cellStyle name="Note 5 2 3 3" xfId="979"/>
    <cellStyle name="Note 5 2 3 3 2" xfId="1883"/>
    <cellStyle name="Note 5 2 3 4" xfId="1396"/>
    <cellStyle name="Note 5 2 4" xfId="475"/>
    <cellStyle name="Note 5 2 4 2" xfId="1045"/>
    <cellStyle name="Note 5 2 4 2 2" xfId="1945"/>
    <cellStyle name="Note 5 2 4 3" xfId="1461"/>
    <cellStyle name="Note 5 2 5" xfId="780"/>
    <cellStyle name="Note 5 2 5 2" xfId="1703"/>
    <cellStyle name="Note 5 2 6" xfId="702"/>
    <cellStyle name="Note 5 3" xfId="248"/>
    <cellStyle name="Note 5 3 2" xfId="556"/>
    <cellStyle name="Note 5 3 2 2" xfId="1123"/>
    <cellStyle name="Note 5 3 2 2 2" xfId="2023"/>
    <cellStyle name="Note 5 3 2 3" xfId="1539"/>
    <cellStyle name="Note 5 3 3" xfId="862"/>
    <cellStyle name="Note 5 3 3 2" xfId="1781"/>
    <cellStyle name="Note 5 3 4" xfId="1294"/>
    <cellStyle name="Note 5 4" xfId="351"/>
    <cellStyle name="Note 5 4 2" xfId="616"/>
    <cellStyle name="Note 5 4 2 2" xfId="1183"/>
    <cellStyle name="Note 5 4 2 2 2" xfId="2083"/>
    <cellStyle name="Note 5 4 2 3" xfId="1599"/>
    <cellStyle name="Note 5 4 3" xfId="937"/>
    <cellStyle name="Note 5 4 3 2" xfId="1841"/>
    <cellStyle name="Note 5 4 4" xfId="1354"/>
    <cellStyle name="Note 5 5" xfId="474"/>
    <cellStyle name="Note 5 5 2" xfId="1044"/>
    <cellStyle name="Note 5 5 2 2" xfId="1944"/>
    <cellStyle name="Note 5 5 3" xfId="1460"/>
    <cellStyle name="Note 5 6" xfId="779"/>
    <cellStyle name="Note 5 6 2" xfId="1702"/>
    <cellStyle name="Note 5 7" xfId="703"/>
    <cellStyle name="Note 6" xfId="149"/>
    <cellStyle name="Note 6 2" xfId="150"/>
    <cellStyle name="Note 6 2 2" xfId="251"/>
    <cellStyle name="Note 6 2 2 2" xfId="559"/>
    <cellStyle name="Note 6 2 2 2 2" xfId="1126"/>
    <cellStyle name="Note 6 2 2 2 2 2" xfId="2026"/>
    <cellStyle name="Note 6 2 2 2 3" xfId="1542"/>
    <cellStyle name="Note 6 2 2 3" xfId="865"/>
    <cellStyle name="Note 6 2 2 3 2" xfId="1784"/>
    <cellStyle name="Note 6 2 2 4" xfId="1297"/>
    <cellStyle name="Note 6 2 3" xfId="397"/>
    <cellStyle name="Note 6 2 3 2" xfId="662"/>
    <cellStyle name="Note 6 2 3 2 2" xfId="1229"/>
    <cellStyle name="Note 6 2 3 2 2 2" xfId="2129"/>
    <cellStyle name="Note 6 2 3 2 3" xfId="1645"/>
    <cellStyle name="Note 6 2 3 3" xfId="983"/>
    <cellStyle name="Note 6 2 3 3 2" xfId="1887"/>
    <cellStyle name="Note 6 2 3 4" xfId="1400"/>
    <cellStyle name="Note 6 2 4" xfId="477"/>
    <cellStyle name="Note 6 2 4 2" xfId="1047"/>
    <cellStyle name="Note 6 2 4 2 2" xfId="1947"/>
    <cellStyle name="Note 6 2 4 3" xfId="1463"/>
    <cellStyle name="Note 6 2 5" xfId="782"/>
    <cellStyle name="Note 6 2 5 2" xfId="1705"/>
    <cellStyle name="Note 6 2 6" xfId="900"/>
    <cellStyle name="Note 6 3" xfId="250"/>
    <cellStyle name="Note 6 3 2" xfId="558"/>
    <cellStyle name="Note 6 3 2 2" xfId="1125"/>
    <cellStyle name="Note 6 3 2 2 2" xfId="2025"/>
    <cellStyle name="Note 6 3 2 3" xfId="1541"/>
    <cellStyle name="Note 6 3 3" xfId="864"/>
    <cellStyle name="Note 6 3 3 2" xfId="1783"/>
    <cellStyle name="Note 6 3 4" xfId="1296"/>
    <cellStyle name="Note 6 4" xfId="355"/>
    <cellStyle name="Note 6 4 2" xfId="620"/>
    <cellStyle name="Note 6 4 2 2" xfId="1187"/>
    <cellStyle name="Note 6 4 2 2 2" xfId="2087"/>
    <cellStyle name="Note 6 4 2 3" xfId="1603"/>
    <cellStyle name="Note 6 4 3" xfId="941"/>
    <cellStyle name="Note 6 4 3 2" xfId="1845"/>
    <cellStyle name="Note 6 4 4" xfId="1358"/>
    <cellStyle name="Note 6 5" xfId="476"/>
    <cellStyle name="Note 6 5 2" xfId="1046"/>
    <cellStyle name="Note 6 5 2 2" xfId="1946"/>
    <cellStyle name="Note 6 5 3" xfId="1462"/>
    <cellStyle name="Note 6 6" xfId="781"/>
    <cellStyle name="Note 6 6 2" xfId="1704"/>
    <cellStyle name="Note 6 7" xfId="701"/>
    <cellStyle name="Note 7" xfId="151"/>
    <cellStyle name="Note 7 2" xfId="152"/>
    <cellStyle name="Note 7 2 2" xfId="253"/>
    <cellStyle name="Note 7 2 2 2" xfId="561"/>
    <cellStyle name="Note 7 2 2 2 2" xfId="1128"/>
    <cellStyle name="Note 7 2 2 2 2 2" xfId="2028"/>
    <cellStyle name="Note 7 2 2 2 3" xfId="1544"/>
    <cellStyle name="Note 7 2 2 3" xfId="867"/>
    <cellStyle name="Note 7 2 2 3 2" xfId="1786"/>
    <cellStyle name="Note 7 2 2 4" xfId="1299"/>
    <cellStyle name="Note 7 2 3" xfId="401"/>
    <cellStyle name="Note 7 2 3 2" xfId="666"/>
    <cellStyle name="Note 7 2 3 2 2" xfId="1233"/>
    <cellStyle name="Note 7 2 3 2 2 2" xfId="2133"/>
    <cellStyle name="Note 7 2 3 2 3" xfId="1649"/>
    <cellStyle name="Note 7 2 3 3" xfId="987"/>
    <cellStyle name="Note 7 2 3 3 2" xfId="1891"/>
    <cellStyle name="Note 7 2 3 4" xfId="1404"/>
    <cellStyle name="Note 7 2 4" xfId="479"/>
    <cellStyle name="Note 7 2 4 2" xfId="1049"/>
    <cellStyle name="Note 7 2 4 2 2" xfId="1949"/>
    <cellStyle name="Note 7 2 4 3" xfId="1465"/>
    <cellStyle name="Note 7 2 5" xfId="784"/>
    <cellStyle name="Note 7 2 5 2" xfId="1707"/>
    <cellStyle name="Note 7 2 6" xfId="699"/>
    <cellStyle name="Note 7 3" xfId="252"/>
    <cellStyle name="Note 7 3 2" xfId="560"/>
    <cellStyle name="Note 7 3 2 2" xfId="1127"/>
    <cellStyle name="Note 7 3 2 2 2" xfId="2027"/>
    <cellStyle name="Note 7 3 2 3" xfId="1543"/>
    <cellStyle name="Note 7 3 3" xfId="866"/>
    <cellStyle name="Note 7 3 3 2" xfId="1785"/>
    <cellStyle name="Note 7 3 4" xfId="1298"/>
    <cellStyle name="Note 7 4" xfId="359"/>
    <cellStyle name="Note 7 4 2" xfId="624"/>
    <cellStyle name="Note 7 4 2 2" xfId="1191"/>
    <cellStyle name="Note 7 4 2 2 2" xfId="2091"/>
    <cellStyle name="Note 7 4 2 3" xfId="1607"/>
    <cellStyle name="Note 7 4 3" xfId="945"/>
    <cellStyle name="Note 7 4 3 2" xfId="1849"/>
    <cellStyle name="Note 7 4 4" xfId="1362"/>
    <cellStyle name="Note 7 5" xfId="478"/>
    <cellStyle name="Note 7 5 2" xfId="1048"/>
    <cellStyle name="Note 7 5 2 2" xfId="1948"/>
    <cellStyle name="Note 7 5 3" xfId="1464"/>
    <cellStyle name="Note 7 6" xfId="783"/>
    <cellStyle name="Note 7 6 2" xfId="1706"/>
    <cellStyle name="Note 7 7" xfId="700"/>
    <cellStyle name="Note 8" xfId="153"/>
    <cellStyle name="Note 8 2" xfId="154"/>
    <cellStyle name="Note 8 2 2" xfId="255"/>
    <cellStyle name="Note 8 2 2 2" xfId="563"/>
    <cellStyle name="Note 8 2 2 2 2" xfId="1130"/>
    <cellStyle name="Note 8 2 2 2 2 2" xfId="2030"/>
    <cellStyle name="Note 8 2 2 2 3" xfId="1546"/>
    <cellStyle name="Note 8 2 2 3" xfId="869"/>
    <cellStyle name="Note 8 2 2 3 2" xfId="1788"/>
    <cellStyle name="Note 8 2 2 4" xfId="1301"/>
    <cellStyle name="Note 8 2 3" xfId="406"/>
    <cellStyle name="Note 8 2 3 2" xfId="671"/>
    <cellStyle name="Note 8 2 3 2 2" xfId="1238"/>
    <cellStyle name="Note 8 2 3 2 2 2" xfId="2138"/>
    <cellStyle name="Note 8 2 3 2 3" xfId="1654"/>
    <cellStyle name="Note 8 2 3 3" xfId="992"/>
    <cellStyle name="Note 8 2 3 3 2" xfId="1896"/>
    <cellStyle name="Note 8 2 3 4" xfId="1409"/>
    <cellStyle name="Note 8 2 4" xfId="481"/>
    <cellStyle name="Note 8 2 4 2" xfId="1051"/>
    <cellStyle name="Note 8 2 4 2 2" xfId="1951"/>
    <cellStyle name="Note 8 2 4 3" xfId="1467"/>
    <cellStyle name="Note 8 2 5" xfId="786"/>
    <cellStyle name="Note 8 2 5 2" xfId="1709"/>
    <cellStyle name="Note 8 2 6" xfId="697"/>
    <cellStyle name="Note 8 3" xfId="254"/>
    <cellStyle name="Note 8 3 2" xfId="562"/>
    <cellStyle name="Note 8 3 2 2" xfId="1129"/>
    <cellStyle name="Note 8 3 2 2 2" xfId="2029"/>
    <cellStyle name="Note 8 3 2 3" xfId="1545"/>
    <cellStyle name="Note 8 3 3" xfId="868"/>
    <cellStyle name="Note 8 3 3 2" xfId="1787"/>
    <cellStyle name="Note 8 3 4" xfId="1300"/>
    <cellStyle name="Note 8 4" xfId="364"/>
    <cellStyle name="Note 8 4 2" xfId="629"/>
    <cellStyle name="Note 8 4 2 2" xfId="1196"/>
    <cellStyle name="Note 8 4 2 2 2" xfId="2096"/>
    <cellStyle name="Note 8 4 2 3" xfId="1612"/>
    <cellStyle name="Note 8 4 3" xfId="950"/>
    <cellStyle name="Note 8 4 3 2" xfId="1854"/>
    <cellStyle name="Note 8 4 4" xfId="1367"/>
    <cellStyle name="Note 8 5" xfId="480"/>
    <cellStyle name="Note 8 5 2" xfId="1050"/>
    <cellStyle name="Note 8 5 2 2" xfId="1950"/>
    <cellStyle name="Note 8 5 3" xfId="1466"/>
    <cellStyle name="Note 8 6" xfId="785"/>
    <cellStyle name="Note 8 6 2" xfId="1708"/>
    <cellStyle name="Note 8 7" xfId="698"/>
    <cellStyle name="Note 9" xfId="155"/>
    <cellStyle name="Note 9 2" xfId="256"/>
    <cellStyle name="Note 9 2 2" xfId="564"/>
    <cellStyle name="Note 9 2 2 2" xfId="1131"/>
    <cellStyle name="Note 9 2 2 2 2" xfId="2031"/>
    <cellStyle name="Note 9 2 2 3" xfId="1547"/>
    <cellStyle name="Note 9 2 3" xfId="870"/>
    <cellStyle name="Note 9 2 3 2" xfId="1789"/>
    <cellStyle name="Note 9 2 4" xfId="1302"/>
    <cellStyle name="Note 9 3" xfId="370"/>
    <cellStyle name="Note 9 3 2" xfId="635"/>
    <cellStyle name="Note 9 3 2 2" xfId="1202"/>
    <cellStyle name="Note 9 3 2 2 2" xfId="2102"/>
    <cellStyle name="Note 9 3 2 3" xfId="1618"/>
    <cellStyle name="Note 9 3 3" xfId="956"/>
    <cellStyle name="Note 9 3 3 2" xfId="1860"/>
    <cellStyle name="Note 9 3 4" xfId="1373"/>
    <cellStyle name="Note 9 4" xfId="482"/>
    <cellStyle name="Note 9 4 2" xfId="1052"/>
    <cellStyle name="Note 9 4 2 2" xfId="1952"/>
    <cellStyle name="Note 9 4 3" xfId="1468"/>
    <cellStyle name="Note 9 5" xfId="787"/>
    <cellStyle name="Note 9 5 2" xfId="1710"/>
    <cellStyle name="Note 9 6" xfId="696"/>
    <cellStyle name="Output 2" xfId="156"/>
    <cellStyle name="Output 2 2" xfId="157"/>
    <cellStyle name="Output 2 2 2" xfId="258"/>
    <cellStyle name="Output 2 2 2 2" xfId="566"/>
    <cellStyle name="Output 2 2 2 2 2" xfId="1133"/>
    <cellStyle name="Output 2 2 2 2 2 2" xfId="2033"/>
    <cellStyle name="Output 2 2 2 2 3" xfId="1549"/>
    <cellStyle name="Output 2 2 2 3" xfId="872"/>
    <cellStyle name="Output 2 2 2 3 2" xfId="1791"/>
    <cellStyle name="Output 2 2 2 4" xfId="1304"/>
    <cellStyle name="Output 2 2 3" xfId="378"/>
    <cellStyle name="Output 2 2 3 2" xfId="643"/>
    <cellStyle name="Output 2 2 3 2 2" xfId="1210"/>
    <cellStyle name="Output 2 2 3 2 2 2" xfId="2110"/>
    <cellStyle name="Output 2 2 3 2 3" xfId="1626"/>
    <cellStyle name="Output 2 2 3 3" xfId="964"/>
    <cellStyle name="Output 2 2 3 3 2" xfId="1868"/>
    <cellStyle name="Output 2 2 3 4" xfId="1381"/>
    <cellStyle name="Output 2 2 4" xfId="484"/>
    <cellStyle name="Output 2 2 4 2" xfId="1054"/>
    <cellStyle name="Output 2 2 4 2 2" xfId="1954"/>
    <cellStyle name="Output 2 2 4 3" xfId="1470"/>
    <cellStyle name="Output 2 2 5" xfId="789"/>
    <cellStyle name="Output 2 2 5 2" xfId="1712"/>
    <cellStyle name="Output 2 2 6" xfId="899"/>
    <cellStyle name="Output 2 3" xfId="257"/>
    <cellStyle name="Output 2 3 2" xfId="565"/>
    <cellStyle name="Output 2 3 2 2" xfId="1132"/>
    <cellStyle name="Output 2 3 2 2 2" xfId="2032"/>
    <cellStyle name="Output 2 3 2 3" xfId="1548"/>
    <cellStyle name="Output 2 3 3" xfId="871"/>
    <cellStyle name="Output 2 3 3 2" xfId="1790"/>
    <cellStyle name="Output 2 3 4" xfId="1303"/>
    <cellStyle name="Output 2 4" xfId="336"/>
    <cellStyle name="Output 2 4 2" xfId="601"/>
    <cellStyle name="Output 2 4 2 2" xfId="1168"/>
    <cellStyle name="Output 2 4 2 2 2" xfId="2068"/>
    <cellStyle name="Output 2 4 2 3" xfId="1584"/>
    <cellStyle name="Output 2 4 3" xfId="922"/>
    <cellStyle name="Output 2 4 3 2" xfId="1826"/>
    <cellStyle name="Output 2 4 4" xfId="1339"/>
    <cellStyle name="Output 2 5" xfId="483"/>
    <cellStyle name="Output 2 5 2" xfId="1053"/>
    <cellStyle name="Output 2 5 2 2" xfId="1953"/>
    <cellStyle name="Output 2 5 3" xfId="1469"/>
    <cellStyle name="Output 2 6" xfId="788"/>
    <cellStyle name="Output 2 6 2" xfId="1711"/>
    <cellStyle name="Output 2 7" xfId="695"/>
    <cellStyle name="Output 3" xfId="158"/>
    <cellStyle name="Output 3 2" xfId="159"/>
    <cellStyle name="Output 3 2 2" xfId="260"/>
    <cellStyle name="Output 3 2 2 2" xfId="568"/>
    <cellStyle name="Output 3 2 2 2 2" xfId="1135"/>
    <cellStyle name="Output 3 2 2 2 2 2" xfId="2035"/>
    <cellStyle name="Output 3 2 2 2 3" xfId="1551"/>
    <cellStyle name="Output 3 2 2 3" xfId="874"/>
    <cellStyle name="Output 3 2 2 3 2" xfId="1793"/>
    <cellStyle name="Output 3 2 2 4" xfId="1306"/>
    <cellStyle name="Output 3 2 3" xfId="388"/>
    <cellStyle name="Output 3 2 3 2" xfId="653"/>
    <cellStyle name="Output 3 2 3 2 2" xfId="1220"/>
    <cellStyle name="Output 3 2 3 2 2 2" xfId="2120"/>
    <cellStyle name="Output 3 2 3 2 3" xfId="1636"/>
    <cellStyle name="Output 3 2 3 3" xfId="974"/>
    <cellStyle name="Output 3 2 3 3 2" xfId="1878"/>
    <cellStyle name="Output 3 2 3 4" xfId="1391"/>
    <cellStyle name="Output 3 2 4" xfId="486"/>
    <cellStyle name="Output 3 2 4 2" xfId="1056"/>
    <cellStyle name="Output 3 2 4 2 2" xfId="1956"/>
    <cellStyle name="Output 3 2 4 3" xfId="1472"/>
    <cellStyle name="Output 3 2 5" xfId="791"/>
    <cellStyle name="Output 3 2 5 2" xfId="1714"/>
    <cellStyle name="Output 3 2 6" xfId="693"/>
    <cellStyle name="Output 3 3" xfId="259"/>
    <cellStyle name="Output 3 3 2" xfId="567"/>
    <cellStyle name="Output 3 3 2 2" xfId="1134"/>
    <cellStyle name="Output 3 3 2 2 2" xfId="2034"/>
    <cellStyle name="Output 3 3 2 3" xfId="1550"/>
    <cellStyle name="Output 3 3 3" xfId="873"/>
    <cellStyle name="Output 3 3 3 2" xfId="1792"/>
    <cellStyle name="Output 3 3 4" xfId="1305"/>
    <cellStyle name="Output 3 4" xfId="346"/>
    <cellStyle name="Output 3 4 2" xfId="611"/>
    <cellStyle name="Output 3 4 2 2" xfId="1178"/>
    <cellStyle name="Output 3 4 2 2 2" xfId="2078"/>
    <cellStyle name="Output 3 4 2 3" xfId="1594"/>
    <cellStyle name="Output 3 4 3" xfId="932"/>
    <cellStyle name="Output 3 4 3 2" xfId="1836"/>
    <cellStyle name="Output 3 4 4" xfId="1349"/>
    <cellStyle name="Output 3 5" xfId="485"/>
    <cellStyle name="Output 3 5 2" xfId="1055"/>
    <cellStyle name="Output 3 5 2 2" xfId="1955"/>
    <cellStyle name="Output 3 5 3" xfId="1471"/>
    <cellStyle name="Output 3 6" xfId="790"/>
    <cellStyle name="Output 3 6 2" xfId="1713"/>
    <cellStyle name="Output 3 7" xfId="694"/>
    <cellStyle name="Output 4" xfId="160"/>
    <cellStyle name="Output 4 2" xfId="161"/>
    <cellStyle name="Output 4 2 2" xfId="262"/>
    <cellStyle name="Output 4 2 2 2" xfId="570"/>
    <cellStyle name="Output 4 2 2 2 2" xfId="1137"/>
    <cellStyle name="Output 4 2 2 2 2 2" xfId="2037"/>
    <cellStyle name="Output 4 2 2 2 3" xfId="1553"/>
    <cellStyle name="Output 4 2 2 3" xfId="876"/>
    <cellStyle name="Output 4 2 2 3 2" xfId="1795"/>
    <cellStyle name="Output 4 2 2 4" xfId="1308"/>
    <cellStyle name="Output 4 2 3" xfId="395"/>
    <cellStyle name="Output 4 2 3 2" xfId="660"/>
    <cellStyle name="Output 4 2 3 2 2" xfId="1227"/>
    <cellStyle name="Output 4 2 3 2 2 2" xfId="2127"/>
    <cellStyle name="Output 4 2 3 2 3" xfId="1643"/>
    <cellStyle name="Output 4 2 3 3" xfId="981"/>
    <cellStyle name="Output 4 2 3 3 2" xfId="1885"/>
    <cellStyle name="Output 4 2 3 4" xfId="1398"/>
    <cellStyle name="Output 4 2 4" xfId="488"/>
    <cellStyle name="Output 4 2 4 2" xfId="1058"/>
    <cellStyle name="Output 4 2 4 2 2" xfId="1958"/>
    <cellStyle name="Output 4 2 4 3" xfId="1474"/>
    <cellStyle name="Output 4 2 5" xfId="793"/>
    <cellStyle name="Output 4 2 5 2" xfId="1716"/>
    <cellStyle name="Output 4 2 6" xfId="691"/>
    <cellStyle name="Output 4 3" xfId="261"/>
    <cellStyle name="Output 4 3 2" xfId="569"/>
    <cellStyle name="Output 4 3 2 2" xfId="1136"/>
    <cellStyle name="Output 4 3 2 2 2" xfId="2036"/>
    <cellStyle name="Output 4 3 2 3" xfId="1552"/>
    <cellStyle name="Output 4 3 3" xfId="875"/>
    <cellStyle name="Output 4 3 3 2" xfId="1794"/>
    <cellStyle name="Output 4 3 4" xfId="1307"/>
    <cellStyle name="Output 4 4" xfId="353"/>
    <cellStyle name="Output 4 4 2" xfId="618"/>
    <cellStyle name="Output 4 4 2 2" xfId="1185"/>
    <cellStyle name="Output 4 4 2 2 2" xfId="2085"/>
    <cellStyle name="Output 4 4 2 3" xfId="1601"/>
    <cellStyle name="Output 4 4 3" xfId="939"/>
    <cellStyle name="Output 4 4 3 2" xfId="1843"/>
    <cellStyle name="Output 4 4 4" xfId="1356"/>
    <cellStyle name="Output 4 5" xfId="487"/>
    <cellStyle name="Output 4 5 2" xfId="1057"/>
    <cellStyle name="Output 4 5 2 2" xfId="1957"/>
    <cellStyle name="Output 4 5 3" xfId="1473"/>
    <cellStyle name="Output 4 6" xfId="792"/>
    <cellStyle name="Output 4 6 2" xfId="1715"/>
    <cellStyle name="Output 4 7" xfId="692"/>
    <cellStyle name="Output 5" xfId="162"/>
    <cellStyle name="Output 5 2" xfId="163"/>
    <cellStyle name="Output 5 2 2" xfId="264"/>
    <cellStyle name="Output 5 2 2 2" xfId="572"/>
    <cellStyle name="Output 5 2 2 2 2" xfId="1139"/>
    <cellStyle name="Output 5 2 2 2 2 2" xfId="2039"/>
    <cellStyle name="Output 5 2 2 2 3" xfId="1555"/>
    <cellStyle name="Output 5 2 2 3" xfId="878"/>
    <cellStyle name="Output 5 2 2 3 2" xfId="1797"/>
    <cellStyle name="Output 5 2 2 4" xfId="1310"/>
    <cellStyle name="Output 5 2 3" xfId="399"/>
    <cellStyle name="Output 5 2 3 2" xfId="664"/>
    <cellStyle name="Output 5 2 3 2 2" xfId="1231"/>
    <cellStyle name="Output 5 2 3 2 2 2" xfId="2131"/>
    <cellStyle name="Output 5 2 3 2 3" xfId="1647"/>
    <cellStyle name="Output 5 2 3 3" xfId="985"/>
    <cellStyle name="Output 5 2 3 3 2" xfId="1889"/>
    <cellStyle name="Output 5 2 3 4" xfId="1402"/>
    <cellStyle name="Output 5 2 4" xfId="490"/>
    <cellStyle name="Output 5 2 4 2" xfId="1060"/>
    <cellStyle name="Output 5 2 4 2 2" xfId="1960"/>
    <cellStyle name="Output 5 2 4 3" xfId="1476"/>
    <cellStyle name="Output 5 2 5" xfId="795"/>
    <cellStyle name="Output 5 2 5 2" xfId="1718"/>
    <cellStyle name="Output 5 2 6" xfId="689"/>
    <cellStyle name="Output 5 3" xfId="263"/>
    <cellStyle name="Output 5 3 2" xfId="571"/>
    <cellStyle name="Output 5 3 2 2" xfId="1138"/>
    <cellStyle name="Output 5 3 2 2 2" xfId="2038"/>
    <cellStyle name="Output 5 3 2 3" xfId="1554"/>
    <cellStyle name="Output 5 3 3" xfId="877"/>
    <cellStyle name="Output 5 3 3 2" xfId="1796"/>
    <cellStyle name="Output 5 3 4" xfId="1309"/>
    <cellStyle name="Output 5 4" xfId="357"/>
    <cellStyle name="Output 5 4 2" xfId="622"/>
    <cellStyle name="Output 5 4 2 2" xfId="1189"/>
    <cellStyle name="Output 5 4 2 2 2" xfId="2089"/>
    <cellStyle name="Output 5 4 2 3" xfId="1605"/>
    <cellStyle name="Output 5 4 3" xfId="943"/>
    <cellStyle name="Output 5 4 3 2" xfId="1847"/>
    <cellStyle name="Output 5 4 4" xfId="1360"/>
    <cellStyle name="Output 5 5" xfId="489"/>
    <cellStyle name="Output 5 5 2" xfId="1059"/>
    <cellStyle name="Output 5 5 2 2" xfId="1959"/>
    <cellStyle name="Output 5 5 3" xfId="1475"/>
    <cellStyle name="Output 5 6" xfId="794"/>
    <cellStyle name="Output 5 6 2" xfId="1717"/>
    <cellStyle name="Output 5 7" xfId="690"/>
    <cellStyle name="Output 6" xfId="164"/>
    <cellStyle name="Output 6 2" xfId="165"/>
    <cellStyle name="Output 6 2 2" xfId="266"/>
    <cellStyle name="Output 6 2 2 2" xfId="574"/>
    <cellStyle name="Output 6 2 2 2 2" xfId="1141"/>
    <cellStyle name="Output 6 2 2 2 2 2" xfId="2041"/>
    <cellStyle name="Output 6 2 2 2 3" xfId="1557"/>
    <cellStyle name="Output 6 2 2 3" xfId="880"/>
    <cellStyle name="Output 6 2 2 3 2" xfId="1799"/>
    <cellStyle name="Output 6 2 2 4" xfId="1312"/>
    <cellStyle name="Output 6 2 3" xfId="403"/>
    <cellStyle name="Output 6 2 3 2" xfId="668"/>
    <cellStyle name="Output 6 2 3 2 2" xfId="1235"/>
    <cellStyle name="Output 6 2 3 2 2 2" xfId="2135"/>
    <cellStyle name="Output 6 2 3 2 3" xfId="1651"/>
    <cellStyle name="Output 6 2 3 3" xfId="989"/>
    <cellStyle name="Output 6 2 3 3 2" xfId="1893"/>
    <cellStyle name="Output 6 2 3 4" xfId="1406"/>
    <cellStyle name="Output 6 2 4" xfId="492"/>
    <cellStyle name="Output 6 2 4 2" xfId="1062"/>
    <cellStyle name="Output 6 2 4 2 2" xfId="1962"/>
    <cellStyle name="Output 6 2 4 3" xfId="1478"/>
    <cellStyle name="Output 6 2 5" xfId="797"/>
    <cellStyle name="Output 6 2 5 2" xfId="1720"/>
    <cellStyle name="Output 6 2 6" xfId="688"/>
    <cellStyle name="Output 6 3" xfId="265"/>
    <cellStyle name="Output 6 3 2" xfId="573"/>
    <cellStyle name="Output 6 3 2 2" xfId="1140"/>
    <cellStyle name="Output 6 3 2 2 2" xfId="2040"/>
    <cellStyle name="Output 6 3 2 3" xfId="1556"/>
    <cellStyle name="Output 6 3 3" xfId="879"/>
    <cellStyle name="Output 6 3 3 2" xfId="1798"/>
    <cellStyle name="Output 6 3 4" xfId="1311"/>
    <cellStyle name="Output 6 4" xfId="361"/>
    <cellStyle name="Output 6 4 2" xfId="626"/>
    <cellStyle name="Output 6 4 2 2" xfId="1193"/>
    <cellStyle name="Output 6 4 2 2 2" xfId="2093"/>
    <cellStyle name="Output 6 4 2 3" xfId="1609"/>
    <cellStyle name="Output 6 4 3" xfId="947"/>
    <cellStyle name="Output 6 4 3 2" xfId="1851"/>
    <cellStyle name="Output 6 4 4" xfId="1364"/>
    <cellStyle name="Output 6 5" xfId="491"/>
    <cellStyle name="Output 6 5 2" xfId="1061"/>
    <cellStyle name="Output 6 5 2 2" xfId="1961"/>
    <cellStyle name="Output 6 5 3" xfId="1477"/>
    <cellStyle name="Output 6 6" xfId="796"/>
    <cellStyle name="Output 6 6 2" xfId="1719"/>
    <cellStyle name="Output 6 7" xfId="898"/>
    <cellStyle name="Output 7" xfId="166"/>
    <cellStyle name="Output 7 2" xfId="167"/>
    <cellStyle name="Output 7 2 2" xfId="268"/>
    <cellStyle name="Output 7 2 2 2" xfId="576"/>
    <cellStyle name="Output 7 2 2 2 2" xfId="1143"/>
    <cellStyle name="Output 7 2 2 2 2 2" xfId="2043"/>
    <cellStyle name="Output 7 2 2 2 3" xfId="1559"/>
    <cellStyle name="Output 7 2 2 3" xfId="882"/>
    <cellStyle name="Output 7 2 2 3 2" xfId="1801"/>
    <cellStyle name="Output 7 2 2 4" xfId="1314"/>
    <cellStyle name="Output 7 2 3" xfId="408"/>
    <cellStyle name="Output 7 2 3 2" xfId="673"/>
    <cellStyle name="Output 7 2 3 2 2" xfId="1240"/>
    <cellStyle name="Output 7 2 3 2 2 2" xfId="2140"/>
    <cellStyle name="Output 7 2 3 2 3" xfId="1656"/>
    <cellStyle name="Output 7 2 3 3" xfId="994"/>
    <cellStyle name="Output 7 2 3 3 2" xfId="1898"/>
    <cellStyle name="Output 7 2 3 4" xfId="1411"/>
    <cellStyle name="Output 7 2 4" xfId="494"/>
    <cellStyle name="Output 7 2 4 2" xfId="1064"/>
    <cellStyle name="Output 7 2 4 2 2" xfId="1964"/>
    <cellStyle name="Output 7 2 4 3" xfId="1480"/>
    <cellStyle name="Output 7 2 5" xfId="799"/>
    <cellStyle name="Output 7 2 5 2" xfId="1722"/>
    <cellStyle name="Output 7 2 6" xfId="686"/>
    <cellStyle name="Output 7 3" xfId="267"/>
    <cellStyle name="Output 7 3 2" xfId="575"/>
    <cellStyle name="Output 7 3 2 2" xfId="1142"/>
    <cellStyle name="Output 7 3 2 2 2" xfId="2042"/>
    <cellStyle name="Output 7 3 2 3" xfId="1558"/>
    <cellStyle name="Output 7 3 3" xfId="881"/>
    <cellStyle name="Output 7 3 3 2" xfId="1800"/>
    <cellStyle name="Output 7 3 4" xfId="1313"/>
    <cellStyle name="Output 7 4" xfId="366"/>
    <cellStyle name="Output 7 4 2" xfId="631"/>
    <cellStyle name="Output 7 4 2 2" xfId="1198"/>
    <cellStyle name="Output 7 4 2 2 2" xfId="2098"/>
    <cellStyle name="Output 7 4 2 3" xfId="1614"/>
    <cellStyle name="Output 7 4 3" xfId="952"/>
    <cellStyle name="Output 7 4 3 2" xfId="1856"/>
    <cellStyle name="Output 7 4 4" xfId="1369"/>
    <cellStyle name="Output 7 5" xfId="493"/>
    <cellStyle name="Output 7 5 2" xfId="1063"/>
    <cellStyle name="Output 7 5 2 2" xfId="1963"/>
    <cellStyle name="Output 7 5 3" xfId="1479"/>
    <cellStyle name="Output 7 6" xfId="798"/>
    <cellStyle name="Output 7 6 2" xfId="1721"/>
    <cellStyle name="Output 7 7" xfId="687"/>
    <cellStyle name="Output 8" xfId="168"/>
    <cellStyle name="Output 8 2" xfId="269"/>
    <cellStyle name="Output 8 2 2" xfId="577"/>
    <cellStyle name="Output 8 2 2 2" xfId="1144"/>
    <cellStyle name="Output 8 2 2 2 2" xfId="2044"/>
    <cellStyle name="Output 8 2 2 3" xfId="1560"/>
    <cellStyle name="Output 8 2 3" xfId="883"/>
    <cellStyle name="Output 8 2 3 2" xfId="1802"/>
    <cellStyle name="Output 8 2 4" xfId="1315"/>
    <cellStyle name="Output 8 3" xfId="372"/>
    <cellStyle name="Output 8 3 2" xfId="637"/>
    <cellStyle name="Output 8 3 2 2" xfId="1204"/>
    <cellStyle name="Output 8 3 2 2 2" xfId="2104"/>
    <cellStyle name="Output 8 3 2 3" xfId="1620"/>
    <cellStyle name="Output 8 3 3" xfId="958"/>
    <cellStyle name="Output 8 3 3 2" xfId="1862"/>
    <cellStyle name="Output 8 3 4" xfId="1375"/>
    <cellStyle name="Output 8 4" xfId="495"/>
    <cellStyle name="Output 8 4 2" xfId="1065"/>
    <cellStyle name="Output 8 4 2 2" xfId="1965"/>
    <cellStyle name="Output 8 4 3" xfId="1481"/>
    <cellStyle name="Output 8 5" xfId="800"/>
    <cellStyle name="Output 8 5 2" xfId="1723"/>
    <cellStyle name="Output 8 6" xfId="685"/>
    <cellStyle name="Output 9" xfId="328"/>
    <cellStyle name="Output 9 2" xfId="595"/>
    <cellStyle name="Output 9 2 2" xfId="1162"/>
    <cellStyle name="Output 9 2 2 2" xfId="2062"/>
    <cellStyle name="Output 9 2 3" xfId="1578"/>
    <cellStyle name="Output 9 3" xfId="916"/>
    <cellStyle name="Output 9 3 2" xfId="1820"/>
    <cellStyle name="Output 9 4" xfId="1333"/>
    <cellStyle name="Percent 2" xfId="169"/>
    <cellStyle name="Percent 2 2" xfId="170"/>
    <cellStyle name="Percent 2 2 2" xfId="171"/>
    <cellStyle name="Percent 2 2 3" xfId="172"/>
    <cellStyle name="Percent 2 2 4" xfId="173"/>
    <cellStyle name="Percent 2 2 5" xfId="174"/>
    <cellStyle name="Percent 2 2 6" xfId="175"/>
    <cellStyle name="Percent 2 2 7" xfId="176"/>
    <cellStyle name="Percent 2 2 8" xfId="177"/>
    <cellStyle name="Percent 2 3" xfId="178"/>
    <cellStyle name="Percent 2 3 2" xfId="2187"/>
    <cellStyle name="Percent 2 3 3" xfId="2188"/>
    <cellStyle name="Percent 2 4" xfId="179"/>
    <cellStyle name="Percent 2 5" xfId="180"/>
    <cellStyle name="Percent 2 6" xfId="181"/>
    <cellStyle name="Percent 2 7" xfId="182"/>
    <cellStyle name="Percent 2 8" xfId="2189"/>
    <cellStyle name="Percent 2_1.6.Wine_&amp;_Ja" xfId="183"/>
    <cellStyle name="Percent 3" xfId="427"/>
    <cellStyle name="Title 2" xfId="329"/>
    <cellStyle name="Total 2" xfId="184"/>
    <cellStyle name="Total 2 2" xfId="185"/>
    <cellStyle name="Total 2 2 2" xfId="271"/>
    <cellStyle name="Total 2 2 2 2" xfId="579"/>
    <cellStyle name="Total 2 2 2 2 2" xfId="1146"/>
    <cellStyle name="Total 2 2 2 2 2 2" xfId="2046"/>
    <cellStyle name="Total 2 2 2 2 3" xfId="1562"/>
    <cellStyle name="Total 2 2 2 3" xfId="885"/>
    <cellStyle name="Total 2 2 2 3 2" xfId="1804"/>
    <cellStyle name="Total 2 2 2 4" xfId="1317"/>
    <cellStyle name="Total 2 2 3" xfId="379"/>
    <cellStyle name="Total 2 2 3 2" xfId="644"/>
    <cellStyle name="Total 2 2 3 2 2" xfId="1211"/>
    <cellStyle name="Total 2 2 3 2 2 2" xfId="2111"/>
    <cellStyle name="Total 2 2 3 2 3" xfId="1627"/>
    <cellStyle name="Total 2 2 3 3" xfId="965"/>
    <cellStyle name="Total 2 2 3 3 2" xfId="1869"/>
    <cellStyle name="Total 2 2 3 4" xfId="1382"/>
    <cellStyle name="Total 2 2 4" xfId="497"/>
    <cellStyle name="Total 2 2 4 2" xfId="1067"/>
    <cellStyle name="Total 2 2 4 2 2" xfId="1967"/>
    <cellStyle name="Total 2 2 4 3" xfId="1483"/>
    <cellStyle name="Total 2 2 5" xfId="802"/>
    <cellStyle name="Total 2 2 5 2" xfId="1725"/>
    <cellStyle name="Total 2 2 6" xfId="897"/>
    <cellStyle name="Total 2 3" xfId="270"/>
    <cellStyle name="Total 2 3 2" xfId="578"/>
    <cellStyle name="Total 2 3 2 2" xfId="1145"/>
    <cellStyle name="Total 2 3 2 2 2" xfId="2045"/>
    <cellStyle name="Total 2 3 2 3" xfId="1561"/>
    <cellStyle name="Total 2 3 3" xfId="884"/>
    <cellStyle name="Total 2 3 3 2" xfId="1803"/>
    <cellStyle name="Total 2 3 4" xfId="1316"/>
    <cellStyle name="Total 2 4" xfId="337"/>
    <cellStyle name="Total 2 4 2" xfId="602"/>
    <cellStyle name="Total 2 4 2 2" xfId="1169"/>
    <cellStyle name="Total 2 4 2 2 2" xfId="2069"/>
    <cellStyle name="Total 2 4 2 3" xfId="1585"/>
    <cellStyle name="Total 2 4 3" xfId="923"/>
    <cellStyle name="Total 2 4 3 2" xfId="1827"/>
    <cellStyle name="Total 2 4 4" xfId="1340"/>
    <cellStyle name="Total 2 5" xfId="496"/>
    <cellStyle name="Total 2 5 2" xfId="1066"/>
    <cellStyle name="Total 2 5 2 2" xfId="1966"/>
    <cellStyle name="Total 2 5 3" xfId="1482"/>
    <cellStyle name="Total 2 6" xfId="801"/>
    <cellStyle name="Total 2 6 2" xfId="1724"/>
    <cellStyle name="Total 2 7" xfId="684"/>
    <cellStyle name="Total 3" xfId="186"/>
    <cellStyle name="Total 3 2" xfId="187"/>
    <cellStyle name="Total 3 2 2" xfId="273"/>
    <cellStyle name="Total 3 2 2 2" xfId="581"/>
    <cellStyle name="Total 3 2 2 2 2" xfId="1148"/>
    <cellStyle name="Total 3 2 2 2 2 2" xfId="2048"/>
    <cellStyle name="Total 3 2 2 2 3" xfId="1564"/>
    <cellStyle name="Total 3 2 2 3" xfId="887"/>
    <cellStyle name="Total 3 2 2 3 2" xfId="1806"/>
    <cellStyle name="Total 3 2 2 4" xfId="1319"/>
    <cellStyle name="Total 3 2 3" xfId="389"/>
    <cellStyle name="Total 3 2 3 2" xfId="654"/>
    <cellStyle name="Total 3 2 3 2 2" xfId="1221"/>
    <cellStyle name="Total 3 2 3 2 2 2" xfId="2121"/>
    <cellStyle name="Total 3 2 3 2 3" xfId="1637"/>
    <cellStyle name="Total 3 2 3 3" xfId="975"/>
    <cellStyle name="Total 3 2 3 3 2" xfId="1879"/>
    <cellStyle name="Total 3 2 3 4" xfId="1392"/>
    <cellStyle name="Total 3 2 4" xfId="499"/>
    <cellStyle name="Total 3 2 4 2" xfId="1069"/>
    <cellStyle name="Total 3 2 4 2 2" xfId="1969"/>
    <cellStyle name="Total 3 2 4 3" xfId="1485"/>
    <cellStyle name="Total 3 2 5" xfId="804"/>
    <cellStyle name="Total 3 2 5 2" xfId="1727"/>
    <cellStyle name="Total 3 2 6" xfId="682"/>
    <cellStyle name="Total 3 3" xfId="272"/>
    <cellStyle name="Total 3 3 2" xfId="580"/>
    <cellStyle name="Total 3 3 2 2" xfId="1147"/>
    <cellStyle name="Total 3 3 2 2 2" xfId="2047"/>
    <cellStyle name="Total 3 3 2 3" xfId="1563"/>
    <cellStyle name="Total 3 3 3" xfId="886"/>
    <cellStyle name="Total 3 3 3 2" xfId="1805"/>
    <cellStyle name="Total 3 3 4" xfId="1318"/>
    <cellStyle name="Total 3 4" xfId="347"/>
    <cellStyle name="Total 3 4 2" xfId="612"/>
    <cellStyle name="Total 3 4 2 2" xfId="1179"/>
    <cellStyle name="Total 3 4 2 2 2" xfId="2079"/>
    <cellStyle name="Total 3 4 2 3" xfId="1595"/>
    <cellStyle name="Total 3 4 3" xfId="933"/>
    <cellStyle name="Total 3 4 3 2" xfId="1837"/>
    <cellStyle name="Total 3 4 4" xfId="1350"/>
    <cellStyle name="Total 3 5" xfId="498"/>
    <cellStyle name="Total 3 5 2" xfId="1068"/>
    <cellStyle name="Total 3 5 2 2" xfId="1968"/>
    <cellStyle name="Total 3 5 3" xfId="1484"/>
    <cellStyle name="Total 3 6" xfId="803"/>
    <cellStyle name="Total 3 6 2" xfId="1726"/>
    <cellStyle name="Total 3 7" xfId="683"/>
    <cellStyle name="Total 4" xfId="188"/>
    <cellStyle name="Total 4 2" xfId="189"/>
    <cellStyle name="Total 4 2 2" xfId="275"/>
    <cellStyle name="Total 4 2 2 2" xfId="583"/>
    <cellStyle name="Total 4 2 2 2 2" xfId="1150"/>
    <cellStyle name="Total 4 2 2 2 2 2" xfId="2050"/>
    <cellStyle name="Total 4 2 2 2 3" xfId="1566"/>
    <cellStyle name="Total 4 2 2 3" xfId="889"/>
    <cellStyle name="Total 4 2 2 3 2" xfId="1808"/>
    <cellStyle name="Total 4 2 2 4" xfId="1321"/>
    <cellStyle name="Total 4 2 3" xfId="396"/>
    <cellStyle name="Total 4 2 3 2" xfId="661"/>
    <cellStyle name="Total 4 2 3 2 2" xfId="1228"/>
    <cellStyle name="Total 4 2 3 2 2 2" xfId="2128"/>
    <cellStyle name="Total 4 2 3 2 3" xfId="1644"/>
    <cellStyle name="Total 4 2 3 3" xfId="982"/>
    <cellStyle name="Total 4 2 3 3 2" xfId="1886"/>
    <cellStyle name="Total 4 2 3 4" xfId="1399"/>
    <cellStyle name="Total 4 2 4" xfId="501"/>
    <cellStyle name="Total 4 2 4 2" xfId="1071"/>
    <cellStyle name="Total 4 2 4 2 2" xfId="1971"/>
    <cellStyle name="Total 4 2 4 3" xfId="1487"/>
    <cellStyle name="Total 4 2 5" xfId="806"/>
    <cellStyle name="Total 4 2 5 2" xfId="1729"/>
    <cellStyle name="Total 4 2 6" xfId="680"/>
    <cellStyle name="Total 4 3" xfId="274"/>
    <cellStyle name="Total 4 3 2" xfId="582"/>
    <cellStyle name="Total 4 3 2 2" xfId="1149"/>
    <cellStyle name="Total 4 3 2 2 2" xfId="2049"/>
    <cellStyle name="Total 4 3 2 3" xfId="1565"/>
    <cellStyle name="Total 4 3 3" xfId="888"/>
    <cellStyle name="Total 4 3 3 2" xfId="1807"/>
    <cellStyle name="Total 4 3 4" xfId="1320"/>
    <cellStyle name="Total 4 4" xfId="354"/>
    <cellStyle name="Total 4 4 2" xfId="619"/>
    <cellStyle name="Total 4 4 2 2" xfId="1186"/>
    <cellStyle name="Total 4 4 2 2 2" xfId="2086"/>
    <cellStyle name="Total 4 4 2 3" xfId="1602"/>
    <cellStyle name="Total 4 4 3" xfId="940"/>
    <cellStyle name="Total 4 4 3 2" xfId="1844"/>
    <cellStyle name="Total 4 4 4" xfId="1357"/>
    <cellStyle name="Total 4 5" xfId="500"/>
    <cellStyle name="Total 4 5 2" xfId="1070"/>
    <cellStyle name="Total 4 5 2 2" xfId="1970"/>
    <cellStyle name="Total 4 5 3" xfId="1486"/>
    <cellStyle name="Total 4 6" xfId="805"/>
    <cellStyle name="Total 4 6 2" xfId="1728"/>
    <cellStyle name="Total 4 7" xfId="681"/>
    <cellStyle name="Total 5" xfId="190"/>
    <cellStyle name="Total 5 2" xfId="191"/>
    <cellStyle name="Total 5 2 2" xfId="277"/>
    <cellStyle name="Total 5 2 2 2" xfId="585"/>
    <cellStyle name="Total 5 2 2 2 2" xfId="1152"/>
    <cellStyle name="Total 5 2 2 2 2 2" xfId="2052"/>
    <cellStyle name="Total 5 2 2 2 3" xfId="1568"/>
    <cellStyle name="Total 5 2 2 3" xfId="891"/>
    <cellStyle name="Total 5 2 2 3 2" xfId="1810"/>
    <cellStyle name="Total 5 2 2 4" xfId="1323"/>
    <cellStyle name="Total 5 2 3" xfId="400"/>
    <cellStyle name="Total 5 2 3 2" xfId="665"/>
    <cellStyle name="Total 5 2 3 2 2" xfId="1232"/>
    <cellStyle name="Total 5 2 3 2 2 2" xfId="2132"/>
    <cellStyle name="Total 5 2 3 2 3" xfId="1648"/>
    <cellStyle name="Total 5 2 3 3" xfId="986"/>
    <cellStyle name="Total 5 2 3 3 2" xfId="1890"/>
    <cellStyle name="Total 5 2 3 4" xfId="1403"/>
    <cellStyle name="Total 5 2 4" xfId="503"/>
    <cellStyle name="Total 5 2 4 2" xfId="1073"/>
    <cellStyle name="Total 5 2 4 2 2" xfId="1973"/>
    <cellStyle name="Total 5 2 4 3" xfId="1489"/>
    <cellStyle name="Total 5 2 5" xfId="808"/>
    <cellStyle name="Total 5 2 5 2" xfId="1731"/>
    <cellStyle name="Total 5 2 6" xfId="678"/>
    <cellStyle name="Total 5 3" xfId="276"/>
    <cellStyle name="Total 5 3 2" xfId="584"/>
    <cellStyle name="Total 5 3 2 2" xfId="1151"/>
    <cellStyle name="Total 5 3 2 2 2" xfId="2051"/>
    <cellStyle name="Total 5 3 2 3" xfId="1567"/>
    <cellStyle name="Total 5 3 3" xfId="890"/>
    <cellStyle name="Total 5 3 3 2" xfId="1809"/>
    <cellStyle name="Total 5 3 4" xfId="1322"/>
    <cellStyle name="Total 5 4" xfId="358"/>
    <cellStyle name="Total 5 4 2" xfId="623"/>
    <cellStyle name="Total 5 4 2 2" xfId="1190"/>
    <cellStyle name="Total 5 4 2 2 2" xfId="2090"/>
    <cellStyle name="Total 5 4 2 3" xfId="1606"/>
    <cellStyle name="Total 5 4 3" xfId="944"/>
    <cellStyle name="Total 5 4 3 2" xfId="1848"/>
    <cellStyle name="Total 5 4 4" xfId="1361"/>
    <cellStyle name="Total 5 5" xfId="502"/>
    <cellStyle name="Total 5 5 2" xfId="1072"/>
    <cellStyle name="Total 5 5 2 2" xfId="1972"/>
    <cellStyle name="Total 5 5 3" xfId="1488"/>
    <cellStyle name="Total 5 6" xfId="807"/>
    <cellStyle name="Total 5 6 2" xfId="1730"/>
    <cellStyle name="Total 5 7" xfId="679"/>
    <cellStyle name="Total 6" xfId="192"/>
    <cellStyle name="Total 6 2" xfId="193"/>
    <cellStyle name="Total 6 2 2" xfId="279"/>
    <cellStyle name="Total 6 2 2 2" xfId="587"/>
    <cellStyle name="Total 6 2 2 2 2" xfId="1154"/>
    <cellStyle name="Total 6 2 2 2 2 2" xfId="2054"/>
    <cellStyle name="Total 6 2 2 2 3" xfId="1570"/>
    <cellStyle name="Total 6 2 2 3" xfId="893"/>
    <cellStyle name="Total 6 2 2 3 2" xfId="1812"/>
    <cellStyle name="Total 6 2 2 4" xfId="1325"/>
    <cellStyle name="Total 6 2 3" xfId="404"/>
    <cellStyle name="Total 6 2 3 2" xfId="669"/>
    <cellStyle name="Total 6 2 3 2 2" xfId="1236"/>
    <cellStyle name="Total 6 2 3 2 2 2" xfId="2136"/>
    <cellStyle name="Total 6 2 3 2 3" xfId="1652"/>
    <cellStyle name="Total 6 2 3 3" xfId="990"/>
    <cellStyle name="Total 6 2 3 3 2" xfId="1894"/>
    <cellStyle name="Total 6 2 3 4" xfId="1407"/>
    <cellStyle name="Total 6 2 4" xfId="505"/>
    <cellStyle name="Total 6 2 4 2" xfId="1075"/>
    <cellStyle name="Total 6 2 4 2 2" xfId="1975"/>
    <cellStyle name="Total 6 2 4 3" xfId="1491"/>
    <cellStyle name="Total 6 2 5" xfId="810"/>
    <cellStyle name="Total 6 2 5 2" xfId="1733"/>
    <cellStyle name="Total 6 2 6" xfId="1243"/>
    <cellStyle name="Total 6 3" xfId="278"/>
    <cellStyle name="Total 6 3 2" xfId="586"/>
    <cellStyle name="Total 6 3 2 2" xfId="1153"/>
    <cellStyle name="Total 6 3 2 2 2" xfId="2053"/>
    <cellStyle name="Total 6 3 2 3" xfId="1569"/>
    <cellStyle name="Total 6 3 3" xfId="892"/>
    <cellStyle name="Total 6 3 3 2" xfId="1811"/>
    <cellStyle name="Total 6 3 4" xfId="1324"/>
    <cellStyle name="Total 6 4" xfId="362"/>
    <cellStyle name="Total 6 4 2" xfId="627"/>
    <cellStyle name="Total 6 4 2 2" xfId="1194"/>
    <cellStyle name="Total 6 4 2 2 2" xfId="2094"/>
    <cellStyle name="Total 6 4 2 3" xfId="1610"/>
    <cellStyle name="Total 6 4 3" xfId="948"/>
    <cellStyle name="Total 6 4 3 2" xfId="1852"/>
    <cellStyle name="Total 6 4 4" xfId="1365"/>
    <cellStyle name="Total 6 5" xfId="504"/>
    <cellStyle name="Total 6 5 2" xfId="1074"/>
    <cellStyle name="Total 6 5 2 2" xfId="1974"/>
    <cellStyle name="Total 6 5 3" xfId="1490"/>
    <cellStyle name="Total 6 6" xfId="809"/>
    <cellStyle name="Total 6 6 2" xfId="1732"/>
    <cellStyle name="Total 6 7" xfId="1242"/>
    <cellStyle name="Total 7" xfId="194"/>
    <cellStyle name="Total 7 2" xfId="195"/>
    <cellStyle name="Total 7 2 2" xfId="281"/>
    <cellStyle name="Total 7 2 2 2" xfId="589"/>
    <cellStyle name="Total 7 2 2 2 2" xfId="1156"/>
    <cellStyle name="Total 7 2 2 2 2 2" xfId="2056"/>
    <cellStyle name="Total 7 2 2 2 3" xfId="1572"/>
    <cellStyle name="Total 7 2 2 3" xfId="895"/>
    <cellStyle name="Total 7 2 2 3 2" xfId="1814"/>
    <cellStyle name="Total 7 2 2 4" xfId="1327"/>
    <cellStyle name="Total 7 2 3" xfId="409"/>
    <cellStyle name="Total 7 2 3 2" xfId="674"/>
    <cellStyle name="Total 7 2 3 2 2" xfId="1241"/>
    <cellStyle name="Total 7 2 3 2 2 2" xfId="2141"/>
    <cellStyle name="Total 7 2 3 2 3" xfId="1657"/>
    <cellStyle name="Total 7 2 3 3" xfId="995"/>
    <cellStyle name="Total 7 2 3 3 2" xfId="1899"/>
    <cellStyle name="Total 7 2 3 4" xfId="1412"/>
    <cellStyle name="Total 7 2 4" xfId="507"/>
    <cellStyle name="Total 7 2 4 2" xfId="1077"/>
    <cellStyle name="Total 7 2 4 2 2" xfId="1977"/>
    <cellStyle name="Total 7 2 4 3" xfId="1493"/>
    <cellStyle name="Total 7 2 5" xfId="812"/>
    <cellStyle name="Total 7 2 5 2" xfId="1735"/>
    <cellStyle name="Total 7 2 6" xfId="1245"/>
    <cellStyle name="Total 7 3" xfId="280"/>
    <cellStyle name="Total 7 3 2" xfId="588"/>
    <cellStyle name="Total 7 3 2 2" xfId="1155"/>
    <cellStyle name="Total 7 3 2 2 2" xfId="2055"/>
    <cellStyle name="Total 7 3 2 3" xfId="1571"/>
    <cellStyle name="Total 7 3 3" xfId="894"/>
    <cellStyle name="Total 7 3 3 2" xfId="1813"/>
    <cellStyle name="Total 7 3 4" xfId="1326"/>
    <cellStyle name="Total 7 4" xfId="367"/>
    <cellStyle name="Total 7 4 2" xfId="632"/>
    <cellStyle name="Total 7 4 2 2" xfId="1199"/>
    <cellStyle name="Total 7 4 2 2 2" xfId="2099"/>
    <cellStyle name="Total 7 4 2 3" xfId="1615"/>
    <cellStyle name="Total 7 4 3" xfId="953"/>
    <cellStyle name="Total 7 4 3 2" xfId="1857"/>
    <cellStyle name="Total 7 4 4" xfId="1370"/>
    <cellStyle name="Total 7 5" xfId="506"/>
    <cellStyle name="Total 7 5 2" xfId="1076"/>
    <cellStyle name="Total 7 5 2 2" xfId="1976"/>
    <cellStyle name="Total 7 5 3" xfId="1492"/>
    <cellStyle name="Total 7 6" xfId="811"/>
    <cellStyle name="Total 7 6 2" xfId="1734"/>
    <cellStyle name="Total 7 7" xfId="1244"/>
    <cellStyle name="Total 8" xfId="196"/>
    <cellStyle name="Total 8 2" xfId="282"/>
    <cellStyle name="Total 8 2 2" xfId="590"/>
    <cellStyle name="Total 8 2 2 2" xfId="1157"/>
    <cellStyle name="Total 8 2 2 2 2" xfId="2057"/>
    <cellStyle name="Total 8 2 2 3" xfId="1573"/>
    <cellStyle name="Total 8 2 3" xfId="896"/>
    <cellStyle name="Total 8 2 3 2" xfId="1815"/>
    <cellStyle name="Total 8 2 4" xfId="1328"/>
    <cellStyle name="Total 8 3" xfId="373"/>
    <cellStyle name="Total 8 3 2" xfId="638"/>
    <cellStyle name="Total 8 3 2 2" xfId="1205"/>
    <cellStyle name="Total 8 3 2 2 2" xfId="2105"/>
    <cellStyle name="Total 8 3 2 3" xfId="1621"/>
    <cellStyle name="Total 8 3 3" xfId="959"/>
    <cellStyle name="Total 8 3 3 2" xfId="1863"/>
    <cellStyle name="Total 8 3 4" xfId="1376"/>
    <cellStyle name="Total 8 4" xfId="508"/>
    <cellStyle name="Total 8 4 2" xfId="1078"/>
    <cellStyle name="Total 8 4 2 2" xfId="1978"/>
    <cellStyle name="Total 8 4 3" xfId="1494"/>
    <cellStyle name="Total 8 5" xfId="813"/>
    <cellStyle name="Total 8 5 2" xfId="1736"/>
    <cellStyle name="Total 8 6" xfId="1246"/>
    <cellStyle name="Total 9" xfId="330"/>
    <cellStyle name="Total 9 2" xfId="596"/>
    <cellStyle name="Total 9 2 2" xfId="1163"/>
    <cellStyle name="Total 9 2 2 2" xfId="2063"/>
    <cellStyle name="Total 9 2 3" xfId="1579"/>
    <cellStyle name="Total 9 3" xfId="917"/>
    <cellStyle name="Total 9 3 2" xfId="1821"/>
    <cellStyle name="Total 9 4" xfId="1334"/>
    <cellStyle name="Warning Text 2" xfId="331"/>
  </cellStyles>
  <dxfs count="138">
    <dxf>
      <font>
        <condense val="0"/>
        <extend val="0"/>
        <color indexed="64"/>
      </font>
      <fill>
        <patternFill patternType="solid">
          <fgColor indexed="60"/>
          <bgColor indexed="10"/>
        </patternFill>
      </fill>
    </dxf>
    <dxf>
      <font>
        <condense val="0"/>
        <extend val="0"/>
        <color indexed="64"/>
      </font>
      <fill>
        <patternFill patternType="solid">
          <fgColor indexed="60"/>
          <bgColor indexed="10"/>
        </patternFill>
      </fill>
    </dxf>
    <dxf>
      <font>
        <condense val="0"/>
        <extend val="0"/>
        <color indexed="64"/>
      </font>
      <fill>
        <patternFill patternType="solid">
          <fgColor indexed="60"/>
          <bgColor indexed="10"/>
        </patternFill>
      </fill>
    </dxf>
    <dxf>
      <fill>
        <patternFill>
          <bgColor rgb="FFFF6600"/>
        </patternFill>
      </fill>
      <border>
        <vertical/>
        <horizontal/>
      </border>
    </dxf>
    <dxf>
      <fill>
        <patternFill>
          <bgColor rgb="FFFF6600"/>
        </patternFill>
      </fill>
      <border>
        <vertical/>
        <horizontal/>
      </border>
    </dxf>
    <dxf>
      <fill>
        <patternFill>
          <bgColor rgb="FFFF6600"/>
        </patternFill>
      </fill>
      <border>
        <vertical/>
        <horizontal/>
      </border>
    </dxf>
    <dxf>
      <font>
        <condense val="0"/>
        <extend val="0"/>
        <color indexed="64"/>
      </font>
      <fill>
        <patternFill patternType="solid">
          <fgColor indexed="51"/>
          <bgColor indexed="52"/>
        </patternFill>
      </fill>
    </dxf>
    <dxf>
      <font>
        <condense val="0"/>
        <extend val="0"/>
        <color indexed="64"/>
      </font>
      <fill>
        <patternFill patternType="solid">
          <fgColor indexed="60"/>
          <bgColor indexed="10"/>
        </patternFill>
      </fill>
    </dxf>
    <dxf>
      <font>
        <condense val="0"/>
        <extend val="0"/>
        <color indexed="9"/>
      </font>
    </dxf>
    <dxf>
      <fill>
        <patternFill>
          <bgColor rgb="FFFF6600"/>
        </patternFill>
      </fill>
      <border>
        <vertical/>
        <horizontal/>
      </border>
    </dxf>
    <dxf>
      <fill>
        <patternFill>
          <bgColor rgb="FFFF6600"/>
        </patternFill>
      </fill>
      <border>
        <vertical/>
        <horizontal/>
      </border>
    </dxf>
    <dxf>
      <fill>
        <patternFill>
          <bgColor rgb="FFFF6600"/>
        </patternFill>
      </fill>
      <border>
        <vertical/>
        <horizontal/>
      </border>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theme="9" tint="-0.24994659260841701"/>
      </font>
    </dxf>
    <dxf>
      <font>
        <b/>
        <i/>
        <color theme="9" tint="-0.24994659260841701"/>
      </font>
    </dxf>
    <dxf>
      <font>
        <b/>
        <i/>
        <strike val="0"/>
      </font>
      <fill>
        <patternFill>
          <bgColor rgb="FFFFFF00"/>
        </patternFill>
      </fill>
      <border>
        <vertical/>
        <horizontal/>
      </border>
    </dxf>
    <dxf>
      <font>
        <b/>
        <i/>
        <strike val="0"/>
        <u/>
        <color rgb="FF00B0F0"/>
      </font>
      <border>
        <vertical/>
        <horizontal/>
      </border>
    </dxf>
    <dxf>
      <font>
        <color theme="9" tint="-0.24994659260841701"/>
      </font>
    </dxf>
    <dxf>
      <font>
        <b/>
        <i/>
        <color theme="9" tint="-0.24994659260841701"/>
      </font>
    </dxf>
    <dxf>
      <font>
        <color rgb="FFCC00FF"/>
      </font>
    </dxf>
    <dxf>
      <font>
        <b/>
        <i/>
        <color rgb="FFFF33CC"/>
      </font>
    </dxf>
    <dxf>
      <fill>
        <patternFill>
          <bgColor rgb="FFFF6600"/>
        </patternFill>
      </fill>
      <border>
        <vertical/>
        <horizontal/>
      </border>
    </dxf>
    <dxf>
      <fill>
        <patternFill>
          <bgColor rgb="FFFF6600"/>
        </patternFill>
      </fill>
      <border>
        <vertical/>
        <horizontal/>
      </border>
    </dxf>
    <dxf>
      <fill>
        <patternFill>
          <bgColor rgb="FFFF6600"/>
        </patternFill>
      </fill>
      <border>
        <vertical/>
        <horizontal/>
      </border>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theme="9" tint="-0.24994659260841701"/>
      </font>
    </dxf>
    <dxf>
      <font>
        <b/>
        <i/>
        <color theme="9" tint="-0.24994659260841701"/>
      </font>
    </dxf>
    <dxf>
      <font>
        <b/>
        <i/>
        <strike val="0"/>
      </font>
      <fill>
        <patternFill>
          <bgColor rgb="FFFFFF00"/>
        </patternFill>
      </fill>
      <border>
        <vertical/>
        <horizontal/>
      </border>
    </dxf>
    <dxf>
      <font>
        <b/>
        <i/>
        <strike val="0"/>
        <u/>
        <color rgb="FF00B0F0"/>
      </font>
      <border>
        <vertical/>
        <horizontal/>
      </border>
    </dxf>
    <dxf>
      <font>
        <color theme="9" tint="-0.24994659260841701"/>
      </font>
    </dxf>
    <dxf>
      <font>
        <b/>
        <i/>
        <color theme="9" tint="-0.24994659260841701"/>
      </font>
    </dxf>
    <dxf>
      <font>
        <color rgb="FFCC00FF"/>
      </font>
    </dxf>
    <dxf>
      <font>
        <b/>
        <i/>
        <color rgb="FFFF33CC"/>
      </font>
    </dxf>
    <dxf>
      <font>
        <condense val="0"/>
        <extend val="0"/>
        <color indexed="64"/>
      </font>
      <fill>
        <patternFill patternType="solid">
          <fgColor indexed="60"/>
          <bgColor indexed="10"/>
        </patternFill>
      </fill>
    </dxf>
    <dxf>
      <font>
        <condense val="0"/>
        <extend val="0"/>
        <color indexed="64"/>
      </font>
      <fill>
        <patternFill patternType="solid">
          <fgColor indexed="51"/>
          <bgColor indexed="52"/>
        </patternFill>
      </fill>
    </dxf>
    <dxf>
      <fill>
        <patternFill>
          <bgColor rgb="FFFF6600"/>
        </patternFill>
      </fill>
      <border>
        <vertical/>
        <horizontal/>
      </border>
    </dxf>
    <dxf>
      <fill>
        <patternFill>
          <bgColor rgb="FFFF6600"/>
        </patternFill>
      </fill>
      <border>
        <vertical/>
        <horizontal/>
      </border>
    </dxf>
    <dxf>
      <fill>
        <patternFill>
          <bgColor rgb="FFFF6600"/>
        </patternFill>
      </fill>
      <border>
        <vertical/>
        <horizontal/>
      </border>
    </dxf>
    <dxf>
      <font>
        <color theme="9" tint="-0.24994659260841701"/>
      </font>
    </dxf>
    <dxf>
      <font>
        <b/>
        <i/>
        <color theme="9" tint="-0.24994659260841701"/>
      </font>
    </dxf>
    <dxf>
      <font>
        <color rgb="FFCC00FF"/>
      </font>
    </dxf>
    <dxf>
      <font>
        <b/>
        <i/>
        <color rgb="FFFF33CC"/>
      </font>
    </dxf>
    <dxf>
      <font>
        <u/>
        <color rgb="FFFF0000"/>
      </font>
    </dxf>
    <dxf>
      <font>
        <b/>
        <i/>
        <color rgb="FFFF33CC"/>
      </font>
    </dxf>
    <dxf>
      <font>
        <b/>
        <i/>
        <color rgb="FFFF33CC"/>
      </font>
    </dxf>
    <dxf>
      <font>
        <color theme="9" tint="-0.24994659260841701"/>
      </font>
    </dxf>
    <dxf>
      <font>
        <b/>
        <i/>
        <color theme="9" tint="-0.24994659260841701"/>
      </font>
    </dxf>
    <dxf>
      <font>
        <color theme="9" tint="-0.24994659260841701"/>
      </font>
    </dxf>
    <dxf>
      <font>
        <b/>
        <i/>
        <color theme="9" tint="-0.24994659260841701"/>
      </font>
    </dxf>
    <dxf>
      <font>
        <b/>
        <i/>
        <strike val="0"/>
      </font>
      <fill>
        <patternFill>
          <bgColor rgb="FFFFFF00"/>
        </patternFill>
      </fill>
      <border>
        <vertical/>
        <horizontal/>
      </border>
    </dxf>
    <dxf>
      <font>
        <b/>
        <i/>
        <strike val="0"/>
        <u/>
        <color rgb="FF00B0F0"/>
      </font>
      <border>
        <vertical/>
        <horizontal/>
      </border>
    </dxf>
    <dxf>
      <font>
        <color theme="9" tint="-0.24994659260841701"/>
      </font>
    </dxf>
    <dxf>
      <font>
        <b/>
        <i/>
        <color theme="9" tint="-0.24994659260841701"/>
      </font>
    </dxf>
    <dxf>
      <font>
        <color rgb="FFCC00FF"/>
      </font>
    </dxf>
    <dxf>
      <font>
        <b/>
        <i/>
        <color rgb="FFFF33CC"/>
      </font>
    </dxf>
    <dxf>
      <font>
        <condense val="0"/>
        <extend val="0"/>
        <color indexed="64"/>
      </font>
      <fill>
        <patternFill patternType="solid">
          <fgColor indexed="51"/>
          <bgColor indexed="52"/>
        </patternFill>
      </fill>
    </dxf>
    <dxf>
      <font>
        <condense val="0"/>
        <extend val="0"/>
        <color indexed="64"/>
      </font>
      <fill>
        <patternFill patternType="solid">
          <fgColor indexed="60"/>
          <bgColor indexed="10"/>
        </patternFill>
      </fill>
    </dxf>
    <dxf>
      <font>
        <condense val="0"/>
        <extend val="0"/>
        <color indexed="64"/>
      </font>
      <fill>
        <patternFill patternType="solid">
          <fgColor indexed="60"/>
          <bgColor indexed="10"/>
        </patternFill>
      </fill>
    </dxf>
    <dxf>
      <font>
        <color theme="9" tint="-0.24994659260841701"/>
      </font>
    </dxf>
    <dxf>
      <font>
        <b/>
        <i/>
        <color theme="9" tint="-0.24994659260841701"/>
      </font>
    </dxf>
    <dxf>
      <font>
        <color theme="9" tint="-0.24994659260841701"/>
      </font>
    </dxf>
    <dxf>
      <font>
        <b/>
        <i/>
        <color theme="9" tint="-0.24994659260841701"/>
      </font>
    </dxf>
    <dxf>
      <font>
        <b/>
        <i/>
        <strike val="0"/>
      </font>
      <fill>
        <patternFill>
          <bgColor rgb="FFFFFF00"/>
        </patternFill>
      </fill>
      <border>
        <vertical/>
        <horizontal/>
      </border>
    </dxf>
    <dxf>
      <font>
        <b/>
        <i/>
        <strike val="0"/>
        <u/>
        <color rgb="FF00B0F0"/>
      </font>
      <border>
        <vertical/>
        <horizontal/>
      </border>
    </dxf>
    <dxf>
      <font>
        <color theme="9" tint="-0.24994659260841701"/>
      </font>
    </dxf>
    <dxf>
      <font>
        <b/>
        <i/>
        <color theme="9" tint="-0.24994659260841701"/>
      </font>
    </dxf>
    <dxf>
      <font>
        <color rgb="FFCC00FF"/>
      </font>
    </dxf>
    <dxf>
      <font>
        <b/>
        <i/>
        <color rgb="FFFF33CC"/>
      </font>
    </dxf>
    <dxf>
      <font>
        <condense val="0"/>
        <extend val="0"/>
        <color indexed="64"/>
      </font>
      <fill>
        <patternFill patternType="solid">
          <fgColor indexed="60"/>
          <bgColor indexed="10"/>
        </patternFill>
      </fill>
    </dxf>
    <dxf>
      <font>
        <condense val="0"/>
        <extend val="0"/>
        <color indexed="64"/>
      </font>
      <fill>
        <patternFill patternType="solid">
          <fgColor indexed="51"/>
          <bgColor indexed="52"/>
        </patternFill>
      </fill>
    </dxf>
    <dxf>
      <font>
        <color rgb="FFFF99FF"/>
      </font>
    </dxf>
    <dxf>
      <font>
        <condense val="0"/>
        <extend val="0"/>
        <color indexed="10"/>
      </font>
    </dxf>
    <dxf>
      <font>
        <color rgb="FFFF99FF"/>
      </font>
    </dxf>
    <dxf>
      <font>
        <condense val="0"/>
        <extend val="0"/>
        <color indexed="10"/>
      </font>
    </dxf>
    <dxf>
      <font>
        <color rgb="FFFF99FF"/>
      </font>
    </dxf>
    <dxf>
      <font>
        <condense val="0"/>
        <extend val="0"/>
        <color indexed="10"/>
      </font>
    </dxf>
    <dxf>
      <font>
        <color rgb="FFFF99FF"/>
      </font>
    </dxf>
    <dxf>
      <font>
        <condense val="0"/>
        <extend val="0"/>
        <color indexed="10"/>
      </font>
    </dxf>
    <dxf>
      <font>
        <color rgb="FFFF99FF"/>
      </font>
    </dxf>
    <dxf>
      <font>
        <condense val="0"/>
        <extend val="0"/>
        <color indexed="10"/>
      </font>
    </dxf>
    <dxf>
      <font>
        <color rgb="FFFF99FF"/>
      </font>
    </dxf>
    <dxf>
      <font>
        <condense val="0"/>
        <extend val="0"/>
        <color indexed="10"/>
      </font>
    </dxf>
    <dxf>
      <font>
        <color rgb="FFFF0000"/>
      </font>
    </dxf>
    <dxf>
      <font>
        <color rgb="FFFF0000"/>
      </font>
    </dxf>
    <dxf>
      <font>
        <color rgb="FFFF0000"/>
      </font>
    </dxf>
    <dxf>
      <font>
        <color rgb="FFFF0000"/>
      </font>
    </dxf>
    <dxf>
      <font>
        <color rgb="FFFF99FF"/>
      </font>
    </dxf>
    <dxf>
      <font>
        <condense val="0"/>
        <extend val="0"/>
        <color indexed="10"/>
      </font>
    </dxf>
    <dxf>
      <font>
        <color rgb="FFFFFFFF"/>
      </font>
      <fill>
        <patternFill patternType="solid">
          <bgColor rgb="FFFF0000"/>
        </patternFill>
      </fill>
    </dxf>
    <dxf>
      <fill>
        <patternFill patternType="solid">
          <bgColor rgb="FFFFCC00"/>
        </patternFill>
      </fill>
    </dxf>
    <dxf>
      <font>
        <u/>
      </font>
      <fill>
        <patternFill patternType="solid">
          <bgColor rgb="FF00FF00"/>
        </patternFill>
      </fill>
    </dxf>
    <dxf>
      <font>
        <condense val="0"/>
        <extend val="0"/>
        <color indexed="9"/>
      </font>
      <fill>
        <patternFill>
          <bgColor indexed="10"/>
        </patternFill>
      </fill>
    </dxf>
    <dxf>
      <fill>
        <patternFill>
          <bgColor indexed="51"/>
        </patternFill>
      </fill>
    </dxf>
    <dxf>
      <font>
        <condense val="0"/>
        <extend val="0"/>
        <u/>
      </font>
      <fill>
        <patternFill>
          <bgColor indexed="11"/>
        </patternFill>
      </fill>
    </dxf>
    <dxf>
      <font>
        <color rgb="FFFF0000"/>
      </font>
    </dxf>
    <dxf>
      <font>
        <color rgb="FFFF0000"/>
      </font>
    </dxf>
    <dxf>
      <font>
        <color rgb="FFFF99FF"/>
      </font>
    </dxf>
    <dxf>
      <font>
        <condense val="0"/>
        <extend val="0"/>
        <color indexed="10"/>
      </font>
    </dxf>
    <dxf>
      <font>
        <color rgb="FFFF99FF"/>
      </font>
    </dxf>
    <dxf>
      <font>
        <condense val="0"/>
        <extend val="0"/>
        <color indexed="10"/>
      </font>
    </dxf>
    <dxf>
      <font>
        <condense val="0"/>
        <extend val="0"/>
        <color indexed="9"/>
      </font>
      <fill>
        <patternFill>
          <bgColor indexed="10"/>
        </patternFill>
      </fill>
    </dxf>
    <dxf>
      <fill>
        <patternFill>
          <bgColor indexed="51"/>
        </patternFill>
      </fill>
    </dxf>
    <dxf>
      <font>
        <condense val="0"/>
        <extend val="0"/>
        <u/>
      </font>
      <fill>
        <patternFill>
          <bgColor indexed="11"/>
        </patternFill>
      </fill>
    </dxf>
    <dxf>
      <font>
        <condense val="0"/>
        <extend val="0"/>
        <color indexed="9"/>
      </font>
      <fill>
        <patternFill>
          <bgColor indexed="10"/>
        </patternFill>
      </fill>
    </dxf>
    <dxf>
      <fill>
        <patternFill>
          <bgColor indexed="51"/>
        </patternFill>
      </fill>
    </dxf>
    <dxf>
      <font>
        <condense val="0"/>
        <extend val="0"/>
        <u/>
      </font>
      <fill>
        <patternFill>
          <bgColor indexed="11"/>
        </patternFill>
      </fill>
    </dxf>
    <dxf>
      <font>
        <condense val="0"/>
        <extend val="0"/>
        <color indexed="9"/>
      </font>
      <fill>
        <patternFill>
          <bgColor indexed="10"/>
        </patternFill>
      </fill>
    </dxf>
    <dxf>
      <fill>
        <patternFill>
          <bgColor indexed="51"/>
        </patternFill>
      </fill>
    </dxf>
    <dxf>
      <font>
        <condense val="0"/>
        <extend val="0"/>
        <u/>
      </font>
      <fill>
        <patternFill>
          <bgColor indexed="11"/>
        </patternFill>
      </fill>
    </dxf>
    <dxf>
      <font>
        <color rgb="FFFF0000"/>
      </font>
    </dxf>
    <dxf>
      <font>
        <color rgb="FFFF0000"/>
      </font>
    </dxf>
    <dxf>
      <font>
        <color rgb="FFFF0000"/>
      </font>
    </dxf>
    <dxf>
      <font>
        <color rgb="FFFF99FF"/>
      </font>
    </dxf>
    <dxf>
      <font>
        <condense val="0"/>
        <extend val="0"/>
        <color indexed="10"/>
      </font>
    </dxf>
    <dxf>
      <font>
        <color rgb="FFFF99FF"/>
      </font>
    </dxf>
    <dxf>
      <font>
        <condense val="0"/>
        <extend val="0"/>
        <color indexed="10"/>
      </font>
    </dxf>
    <dxf>
      <font>
        <condense val="0"/>
        <extend val="0"/>
        <color indexed="64"/>
      </font>
      <fill>
        <patternFill patternType="solid">
          <fgColor indexed="60"/>
          <bgColor indexed="10"/>
        </patternFill>
      </fill>
    </dxf>
    <dxf>
      <font>
        <condense val="0"/>
        <extend val="0"/>
        <color indexed="64"/>
      </font>
      <fill>
        <patternFill patternType="solid">
          <fgColor indexed="60"/>
          <bgColor indexed="10"/>
        </patternFill>
      </fill>
    </dxf>
    <dxf>
      <font>
        <condense val="0"/>
        <extend val="0"/>
        <color indexed="64"/>
      </font>
      <fill>
        <patternFill patternType="solid">
          <fgColor indexed="60"/>
          <bgColor indexed="10"/>
        </patternFill>
      </fill>
    </dxf>
    <dxf>
      <font>
        <condense val="0"/>
        <extend val="0"/>
        <color indexed="9"/>
      </font>
      <fill>
        <patternFill patternType="solid">
          <fgColor indexed="8"/>
          <bgColor indexed="10"/>
        </patternFill>
      </fill>
    </dxf>
    <dxf>
      <fill>
        <patternFill patternType="solid">
          <fgColor indexed="8"/>
          <bgColor indexed="51"/>
        </patternFill>
      </fill>
    </dxf>
    <dxf>
      <font>
        <condense val="0"/>
        <extend val="0"/>
      </font>
      <fill>
        <patternFill patternType="solid">
          <fgColor indexed="8"/>
          <bgColor indexed="11"/>
        </patternFill>
      </fill>
    </dxf>
  </dxfs>
  <tableStyles count="0" defaultTableStyle="TableStyleMedium9" defaultPivotStyle="PivotStyleLight16"/>
  <colors>
    <mruColors>
      <color rgb="FFFF00FF"/>
      <color rgb="FFFFFF99"/>
      <color rgb="FFCCFFFF"/>
      <color rgb="FFFFFFCC"/>
      <color rgb="FF974807"/>
      <color rgb="FFE46D0A"/>
      <color rgb="FFFDF7DF"/>
      <color rgb="FFC45D08"/>
      <color rgb="FF000000"/>
      <color rgb="FFFF99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8157966740643903E-2"/>
          <c:y val="2.9953101473601092E-2"/>
          <c:w val="0.7800033833661415"/>
          <c:h val="0.85636013918224119"/>
        </c:manualLayout>
      </c:layout>
      <c:lineChart>
        <c:grouping val="standard"/>
        <c:ser>
          <c:idx val="0"/>
          <c:order val="0"/>
          <c:tx>
            <c:strRef>
              <c:f>Beer!$BM$2</c:f>
              <c:strCache>
                <c:ptCount val="1"/>
                <c:pt idx="0">
                  <c:v>1000</c:v>
                </c:pt>
              </c:strCache>
            </c:strRef>
          </c:tx>
          <c:cat>
            <c:numRef>
              <c:f>Beer!$BL$3:$BL$26</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Beer!$BM$3:$BM$26</c:f>
              <c:numCache>
                <c:formatCode>0.0</c:formatCode>
                <c:ptCount val="24"/>
                <c:pt idx="0">
                  <c:v>0</c:v>
                </c:pt>
                <c:pt idx="1">
                  <c:v>7.2070905402730112</c:v>
                </c:pt>
                <c:pt idx="2">
                  <c:v>13.107757205811929</c:v>
                </c:pt>
                <c:pt idx="3">
                  <c:v>17.938814468550756</c:v>
                </c:pt>
                <c:pt idx="4">
                  <c:v>21.894149619435765</c:v>
                </c:pt>
                <c:pt idx="5">
                  <c:v>25.132504146195664</c:v>
                </c:pt>
                <c:pt idx="6">
                  <c:v>27.783844586623285</c:v>
                </c:pt>
                <c:pt idx="7">
                  <c:v>29.954578542080704</c:v>
                </c:pt>
                <c:pt idx="8">
                  <c:v>31.731825188164301</c:v>
                </c:pt>
                <c:pt idx="9">
                  <c:v>33.186911673117642</c:v>
                </c:pt>
                <c:pt idx="10">
                  <c:v>34.378235726737081</c:v>
                </c:pt>
                <c:pt idx="11">
                  <c:v>35.353609366316839</c:v>
                </c:pt>
                <c:pt idx="12">
                  <c:v>36.152177760782394</c:v>
                </c:pt>
                <c:pt idx="13">
                  <c:v>36.805990263767441</c:v>
                </c:pt>
                <c:pt idx="14">
                  <c:v>37.3412866667082</c:v>
                </c:pt>
                <c:pt idx="15">
                  <c:v>37.779550293807816</c:v>
                </c:pt>
                <c:pt idx="16">
                  <c:v>38.138370203269773</c:v>
                </c:pt>
                <c:pt idx="17">
                  <c:v>38.43214709796294</c:v>
                </c:pt>
                <c:pt idx="18">
                  <c:v>38.672671276191984</c:v>
                </c:pt>
                <c:pt idx="19">
                  <c:v>38.869595817766914</c:v>
                </c:pt>
                <c:pt idx="20">
                  <c:v>39.030823995990076</c:v>
                </c:pt>
                <c:pt idx="21">
                  <c:v>39.162826463764134</c:v>
                </c:pt>
                <c:pt idx="22">
                  <c:v>39.270900943612936</c:v>
                </c:pt>
                <c:pt idx="23">
                  <c:v>39.359384843888066</c:v>
                </c:pt>
              </c:numCache>
            </c:numRef>
          </c:val>
          <c:smooth val="1"/>
          <c:extLst xmlns:c16r2="http://schemas.microsoft.com/office/drawing/2015/06/chart">
            <c:ext xmlns:c16="http://schemas.microsoft.com/office/drawing/2014/chart" uri="{C3380CC4-5D6E-409C-BE32-E72D297353CC}">
              <c16:uniqueId val="{00000000-6EF7-AD41-8646-1F378CB4718D}"/>
            </c:ext>
          </c:extLst>
        </c:ser>
        <c:ser>
          <c:idx val="1"/>
          <c:order val="1"/>
          <c:tx>
            <c:strRef>
              <c:f>Beer!$BN$2</c:f>
              <c:strCache>
                <c:ptCount val="1"/>
                <c:pt idx="0">
                  <c:v>1010</c:v>
                </c:pt>
              </c:strCache>
            </c:strRef>
          </c:tx>
          <c:cat>
            <c:numRef>
              <c:f>Beer!$BL$3:$BL$26</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Beer!$BN$3:$BN$27</c:f>
              <c:numCache>
                <c:formatCode>0.0</c:formatCode>
                <c:ptCount val="25"/>
                <c:pt idx="0">
                  <c:v>0</c:v>
                </c:pt>
                <c:pt idx="1">
                  <c:v>6.5876281716873537</c:v>
                </c:pt>
                <c:pt idx="2">
                  <c:v>11.981121945690669</c:v>
                </c:pt>
                <c:pt idx="3">
                  <c:v>16.396941165001813</c:v>
                </c:pt>
                <c:pt idx="4">
                  <c:v>20.012308159884647</c:v>
                </c:pt>
                <c:pt idx="5">
                  <c:v>22.97232030225835</c:v>
                </c:pt>
                <c:pt idx="6">
                  <c:v>25.395773272703941</c:v>
                </c:pt>
                <c:pt idx="7">
                  <c:v>27.379928748245938</c:v>
                </c:pt>
                <c:pt idx="8">
                  <c:v>29.004417854960234</c:v>
                </c:pt>
                <c:pt idx="9">
                  <c:v>30.334437044667407</c:v>
                </c:pt>
                <c:pt idx="10">
                  <c:v>31.423364657464532</c:v>
                </c:pt>
                <c:pt idx="11">
                  <c:v>32.314903181937325</c:v>
                </c:pt>
                <c:pt idx="12">
                  <c:v>33.044833189476975</c:v>
                </c:pt>
                <c:pt idx="13">
                  <c:v>33.642449334244127</c:v>
                </c:pt>
                <c:pt idx="14">
                  <c:v>34.131736050500898</c:v>
                </c:pt>
                <c:pt idx="15">
                  <c:v>34.532330132172852</c:v>
                </c:pt>
                <c:pt idx="16">
                  <c:v>34.860308826338716</c:v>
                </c:pt>
                <c:pt idx="17">
                  <c:v>35.128835069606673</c:v>
                </c:pt>
                <c:pt idx="18">
                  <c:v>35.348685762978647</c:v>
                </c:pt>
                <c:pt idx="19">
                  <c:v>35.528684286727795</c:v>
                </c:pt>
                <c:pt idx="20">
                  <c:v>35.676054613629859</c:v>
                </c:pt>
                <c:pt idx="21">
                  <c:v>35.796711232355733</c:v>
                </c:pt>
                <c:pt idx="22">
                  <c:v>35.895496516669013</c:v>
                </c:pt>
                <c:pt idx="23">
                  <c:v>35.976375066887847</c:v>
                </c:pt>
                <c:pt idx="24">
                  <c:v>36.042592823216374</c:v>
                </c:pt>
              </c:numCache>
            </c:numRef>
          </c:val>
          <c:smooth val="1"/>
          <c:extLst xmlns:c16r2="http://schemas.microsoft.com/office/drawing/2015/06/chart">
            <c:ext xmlns:c16="http://schemas.microsoft.com/office/drawing/2014/chart" uri="{C3380CC4-5D6E-409C-BE32-E72D297353CC}">
              <c16:uniqueId val="{00000001-6EF7-AD41-8646-1F378CB4718D}"/>
            </c:ext>
          </c:extLst>
        </c:ser>
        <c:ser>
          <c:idx val="2"/>
          <c:order val="2"/>
          <c:tx>
            <c:strRef>
              <c:f>Beer!$BO$2</c:f>
              <c:strCache>
                <c:ptCount val="1"/>
                <c:pt idx="0">
                  <c:v>1020</c:v>
                </c:pt>
              </c:strCache>
            </c:strRef>
          </c:tx>
          <c:cat>
            <c:numRef>
              <c:f>Beer!$BL$3:$BL$26</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Beer!$BO$3:$BO$27</c:f>
              <c:numCache>
                <c:formatCode>0.0</c:formatCode>
                <c:ptCount val="25"/>
                <c:pt idx="0">
                  <c:v>0</c:v>
                </c:pt>
                <c:pt idx="1">
                  <c:v>6.0214097056098543</c:v>
                </c:pt>
                <c:pt idx="2">
                  <c:v>10.951323008474876</c:v>
                </c:pt>
                <c:pt idx="3">
                  <c:v>14.98759463953872</c:v>
                </c:pt>
                <c:pt idx="4">
                  <c:v>18.292214351666914</c:v>
                </c:pt>
                <c:pt idx="5">
                  <c:v>20.997808137213969</c:v>
                </c:pt>
                <c:pt idx="6">
                  <c:v>23.212960974778021</c:v>
                </c:pt>
                <c:pt idx="7">
                  <c:v>25.026574725659668</c:v>
                </c:pt>
                <c:pt idx="8">
                  <c:v>26.511436077711583</c:v>
                </c:pt>
                <c:pt idx="9">
                  <c:v>27.727137730693432</c:v>
                </c:pt>
                <c:pt idx="10">
                  <c:v>28.722470060557413</c:v>
                </c:pt>
                <c:pt idx="11">
                  <c:v>29.537379248549808</c:v>
                </c:pt>
                <c:pt idx="12">
                  <c:v>30.204570461724991</c:v>
                </c:pt>
                <c:pt idx="13">
                  <c:v>30.750820426134922</c:v>
                </c:pt>
                <c:pt idx="14">
                  <c:v>31.198052070865085</c:v>
                </c:pt>
                <c:pt idx="15">
                  <c:v>31.564214372155313</c:v>
                </c:pt>
                <c:pt idx="16">
                  <c:v>31.864002708839436</c:v>
                </c:pt>
                <c:pt idx="17">
                  <c:v>32.109448639496811</c:v>
                </c:pt>
                <c:pt idx="18">
                  <c:v>32.310402771143856</c:v>
                </c:pt>
                <c:pt idx="19">
                  <c:v>32.474930098681376</c:v>
                </c:pt>
                <c:pt idx="20">
                  <c:v>32.609633681458071</c:v>
                </c:pt>
                <c:pt idx="21">
                  <c:v>32.719919647227144</c:v>
                </c:pt>
                <c:pt idx="22">
                  <c:v>32.810214159035191</c:v>
                </c:pt>
                <c:pt idx="23">
                  <c:v>32.884141052686594</c:v>
                </c:pt>
                <c:pt idx="24">
                  <c:v>32.944667273998526</c:v>
                </c:pt>
              </c:numCache>
            </c:numRef>
          </c:val>
          <c:smooth val="1"/>
          <c:extLst xmlns:c16r2="http://schemas.microsoft.com/office/drawing/2015/06/chart">
            <c:ext xmlns:c16="http://schemas.microsoft.com/office/drawing/2014/chart" uri="{C3380CC4-5D6E-409C-BE32-E72D297353CC}">
              <c16:uniqueId val="{00000002-6EF7-AD41-8646-1F378CB4718D}"/>
            </c:ext>
          </c:extLst>
        </c:ser>
        <c:ser>
          <c:idx val="3"/>
          <c:order val="3"/>
          <c:tx>
            <c:strRef>
              <c:f>Beer!$BP$2</c:f>
              <c:strCache>
                <c:ptCount val="1"/>
                <c:pt idx="0">
                  <c:v>1030</c:v>
                </c:pt>
              </c:strCache>
            </c:strRef>
          </c:tx>
          <c:cat>
            <c:numRef>
              <c:f>Beer!$BL$3:$BL$26</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Beer!$BP$3:$BP$27</c:f>
              <c:numCache>
                <c:formatCode>0.0</c:formatCode>
                <c:ptCount val="25"/>
                <c:pt idx="0">
                  <c:v>0</c:v>
                </c:pt>
                <c:pt idx="1">
                  <c:v>5.5038587330477089</c:v>
                </c:pt>
                <c:pt idx="2">
                  <c:v>10.010037138390684</c:v>
                </c:pt>
                <c:pt idx="3">
                  <c:v>13.699383977700879</c:v>
                </c:pt>
                <c:pt idx="4">
                  <c:v>16.719965693815187</c:v>
                </c:pt>
                <c:pt idx="5">
                  <c:v>19.193008836983037</c:v>
                </c:pt>
                <c:pt idx="6">
                  <c:v>21.217765311983186</c:v>
                </c:pt>
                <c:pt idx="7">
                  <c:v>22.875495705559583</c:v>
                </c:pt>
                <c:pt idx="8">
                  <c:v>24.232730559092648</c:v>
                </c:pt>
                <c:pt idx="9">
                  <c:v>25.343940472829452</c:v>
                </c:pt>
                <c:pt idx="10">
                  <c:v>26.253722202330909</c:v>
                </c:pt>
                <c:pt idx="11">
                  <c:v>26.998588482862225</c:v>
                </c:pt>
                <c:pt idx="12">
                  <c:v>27.608433413664024</c:v>
                </c:pt>
                <c:pt idx="13">
                  <c:v>28.107732213120169</c:v>
                </c:pt>
                <c:pt idx="14">
                  <c:v>28.516523495209835</c:v>
                </c:pt>
                <c:pt idx="15">
                  <c:v>28.851213489446817</c:v>
                </c:pt>
                <c:pt idx="16">
                  <c:v>29.125234480476131</c:v>
                </c:pt>
                <c:pt idx="17">
                  <c:v>29.349583892820732</c:v>
                </c:pt>
                <c:pt idx="18">
                  <c:v>29.533265656142234</c:v>
                </c:pt>
                <c:pt idx="19">
                  <c:v>29.683651564553138</c:v>
                </c:pt>
                <c:pt idx="20">
                  <c:v>29.806777132598711</c:v>
                </c:pt>
                <c:pt idx="21">
                  <c:v>29.907583821647819</c:v>
                </c:pt>
                <c:pt idx="22">
                  <c:v>29.990117358088291</c:v>
                </c:pt>
                <c:pt idx="23">
                  <c:v>30.057690102532391</c:v>
                </c:pt>
                <c:pt idx="24">
                  <c:v>30.113013986478652</c:v>
                </c:pt>
              </c:numCache>
            </c:numRef>
          </c:val>
          <c:smooth val="1"/>
          <c:extLst xmlns:c16r2="http://schemas.microsoft.com/office/drawing/2015/06/chart">
            <c:ext xmlns:c16="http://schemas.microsoft.com/office/drawing/2014/chart" uri="{C3380CC4-5D6E-409C-BE32-E72D297353CC}">
              <c16:uniqueId val="{00000003-6EF7-AD41-8646-1F378CB4718D}"/>
            </c:ext>
          </c:extLst>
        </c:ser>
        <c:ser>
          <c:idx val="4"/>
          <c:order val="4"/>
          <c:tx>
            <c:strRef>
              <c:f>Beer!$BQ$2</c:f>
              <c:strCache>
                <c:ptCount val="1"/>
                <c:pt idx="0">
                  <c:v>1040</c:v>
                </c:pt>
              </c:strCache>
            </c:strRef>
          </c:tx>
          <c:cat>
            <c:numRef>
              <c:f>Beer!$BL$3:$BL$26</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Beer!$BQ$3:$BQ$27</c:f>
              <c:numCache>
                <c:formatCode>0.0</c:formatCode>
                <c:ptCount val="25"/>
                <c:pt idx="0">
                  <c:v>0</c:v>
                </c:pt>
                <c:pt idx="1">
                  <c:v>5.0307921955756498</c:v>
                </c:pt>
                <c:pt idx="2">
                  <c:v>9.149656478438132</c:v>
                </c:pt>
                <c:pt idx="3">
                  <c:v>12.521897334572138</c:v>
                </c:pt>
                <c:pt idx="4">
                  <c:v>15.282854630275068</c:v>
                </c:pt>
                <c:pt idx="5">
                  <c:v>17.543335276202075</c:v>
                </c:pt>
                <c:pt idx="6">
                  <c:v>19.394060297760095</c:v>
                </c:pt>
                <c:pt idx="7">
                  <c:v>20.909305788400562</c:v>
                </c:pt>
                <c:pt idx="8">
                  <c:v>22.149883870050648</c:v>
                </c:pt>
                <c:pt idx="9">
                  <c:v>23.165583297092059</c:v>
                </c:pt>
                <c:pt idx="10">
                  <c:v>23.997167653894547</c:v>
                </c:pt>
                <c:pt idx="11">
                  <c:v>24.678011340587314</c:v>
                </c:pt>
                <c:pt idx="12">
                  <c:v>25.23543900492168</c:v>
                </c:pt>
                <c:pt idx="13">
                  <c:v>25.691822176328653</c:v>
                </c:pt>
                <c:pt idx="14">
                  <c:v>26.065477113946802</c:v>
                </c:pt>
                <c:pt idx="15">
                  <c:v>26.371399902414211</c:v>
                </c:pt>
                <c:pt idx="16">
                  <c:v>26.621868297399857</c:v>
                </c:pt>
                <c:pt idx="17">
                  <c:v>26.826934475048681</c:v>
                </c:pt>
                <c:pt idx="18">
                  <c:v>26.994828461105929</c:v>
                </c:pt>
                <c:pt idx="19">
                  <c:v>27.132288430747845</c:v>
                </c:pt>
                <c:pt idx="20">
                  <c:v>27.244831135210845</c:v>
                </c:pt>
                <c:pt idx="21">
                  <c:v>27.336973308389272</c:v>
                </c:pt>
                <c:pt idx="22">
                  <c:v>27.412412939225884</c:v>
                </c:pt>
                <c:pt idx="23">
                  <c:v>27.474177684992672</c:v>
                </c:pt>
                <c:pt idx="24">
                  <c:v>27.524746381807983</c:v>
                </c:pt>
              </c:numCache>
            </c:numRef>
          </c:val>
          <c:smooth val="1"/>
          <c:extLst xmlns:c16r2="http://schemas.microsoft.com/office/drawing/2015/06/chart">
            <c:ext xmlns:c16="http://schemas.microsoft.com/office/drawing/2014/chart" uri="{C3380CC4-5D6E-409C-BE32-E72D297353CC}">
              <c16:uniqueId val="{00000004-6EF7-AD41-8646-1F378CB4718D}"/>
            </c:ext>
          </c:extLst>
        </c:ser>
        <c:ser>
          <c:idx val="5"/>
          <c:order val="5"/>
          <c:tx>
            <c:strRef>
              <c:f>Beer!$BR$2</c:f>
              <c:strCache>
                <c:ptCount val="1"/>
                <c:pt idx="0">
                  <c:v>1050</c:v>
                </c:pt>
              </c:strCache>
            </c:strRef>
          </c:tx>
          <c:cat>
            <c:numRef>
              <c:f>Beer!$BL$3:$BL$26</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Beer!$BR$3:$BR$27</c:f>
              <c:numCache>
                <c:formatCode>0.0</c:formatCode>
                <c:ptCount val="25"/>
                <c:pt idx="0">
                  <c:v>0</c:v>
                </c:pt>
                <c:pt idx="1">
                  <c:v>4.5983865761486076</c:v>
                </c:pt>
                <c:pt idx="2">
                  <c:v>8.3632270805824369</c:v>
                </c:pt>
                <c:pt idx="3">
                  <c:v>11.445617781996038</c:v>
                </c:pt>
                <c:pt idx="4">
                  <c:v>13.969265842244964</c:v>
                </c:pt>
                <c:pt idx="5">
                  <c:v>16.035454119116356</c:v>
                </c:pt>
                <c:pt idx="6">
                  <c:v>17.727106003040163</c:v>
                </c:pt>
                <c:pt idx="7">
                  <c:v>19.112113423910895</c:v>
                </c:pt>
                <c:pt idx="8">
                  <c:v>20.246061592618979</c:v>
                </c:pt>
                <c:pt idx="9">
                  <c:v>21.174459830736748</c:v>
                </c:pt>
                <c:pt idx="10">
                  <c:v>21.934568019387179</c:v>
                </c:pt>
                <c:pt idx="11">
                  <c:v>22.556891969101688</c:v>
                </c:pt>
                <c:pt idx="12">
                  <c:v>23.066407725109915</c:v>
                </c:pt>
                <c:pt idx="13">
                  <c:v>23.483563943731625</c:v>
                </c:pt>
                <c:pt idx="14">
                  <c:v>23.825102568754943</c:v>
                </c:pt>
                <c:pt idx="15">
                  <c:v>24.104730744425499</c:v>
                </c:pt>
                <c:pt idx="16">
                  <c:v>24.333670931274082</c:v>
                </c:pt>
                <c:pt idx="17">
                  <c:v>24.52111130286243</c:v>
                </c:pt>
                <c:pt idx="18">
                  <c:v>24.674574499450177</c:v>
                </c:pt>
                <c:pt idx="19">
                  <c:v>24.800219537962217</c:v>
                </c:pt>
                <c:pt idx="20">
                  <c:v>24.903088994963689</c:v>
                </c:pt>
                <c:pt idx="21">
                  <c:v>24.987311382963235</c:v>
                </c:pt>
                <c:pt idx="22">
                  <c:v>25.05626684211612</c:v>
                </c:pt>
                <c:pt idx="23">
                  <c:v>25.112722797117208</c:v>
                </c:pt>
                <c:pt idx="24">
                  <c:v>25.158945023670977</c:v>
                </c:pt>
              </c:numCache>
            </c:numRef>
          </c:val>
          <c:smooth val="1"/>
          <c:extLst xmlns:c16r2="http://schemas.microsoft.com/office/drawing/2015/06/chart">
            <c:ext xmlns:c16="http://schemas.microsoft.com/office/drawing/2014/chart" uri="{C3380CC4-5D6E-409C-BE32-E72D297353CC}">
              <c16:uniqueId val="{00000005-6EF7-AD41-8646-1F378CB4718D}"/>
            </c:ext>
          </c:extLst>
        </c:ser>
        <c:ser>
          <c:idx val="6"/>
          <c:order val="6"/>
          <c:tx>
            <c:strRef>
              <c:f>Beer!$BS$2</c:f>
              <c:strCache>
                <c:ptCount val="1"/>
                <c:pt idx="0">
                  <c:v>1060</c:v>
                </c:pt>
              </c:strCache>
            </c:strRef>
          </c:tx>
          <c:cat>
            <c:numRef>
              <c:f>Beer!$BL$3:$BL$26</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Beer!$BS$3:$BS$27</c:f>
              <c:numCache>
                <c:formatCode>0.0</c:formatCode>
                <c:ptCount val="25"/>
                <c:pt idx="0">
                  <c:v>0</c:v>
                </c:pt>
                <c:pt idx="1">
                  <c:v>4.2031469958747074</c:v>
                </c:pt>
                <c:pt idx="2">
                  <c:v>7.6443927011046613</c:v>
                </c:pt>
                <c:pt idx="3">
                  <c:v>10.461846388873955</c:v>
                </c:pt>
                <c:pt idx="4">
                  <c:v>12.768582368423644</c:v>
                </c:pt>
                <c:pt idx="5">
                  <c:v>14.657178054112437</c:v>
                </c:pt>
                <c:pt idx="6">
                  <c:v>16.203429422116251</c:v>
                </c:pt>
                <c:pt idx="7">
                  <c:v>17.469392969089871</c:v>
                </c:pt>
                <c:pt idx="8">
                  <c:v>18.505876257272863</c:v>
                </c:pt>
                <c:pt idx="9">
                  <c:v>19.354477000359658</c:v>
                </c:pt>
                <c:pt idx="10">
                  <c:v>20.049252525809649</c:v>
                </c:pt>
                <c:pt idx="11">
                  <c:v>20.618086614981468</c:v>
                </c:pt>
                <c:pt idx="12">
                  <c:v>21.083808577185543</c:v>
                </c:pt>
                <c:pt idx="13">
                  <c:v>21.465109470025837</c:v>
                </c:pt>
                <c:pt idx="14">
                  <c:v>21.777292237170283</c:v>
                </c:pt>
                <c:pt idx="15">
                  <c:v>22.032885869212421</c:v>
                </c:pt>
                <c:pt idx="16">
                  <c:v>22.242148236056217</c:v>
                </c:pt>
                <c:pt idx="17">
                  <c:v>22.413477771253117</c:v>
                </c:pt>
                <c:pt idx="18">
                  <c:v>22.55375053062938</c:v>
                </c:pt>
                <c:pt idx="19">
                  <c:v>22.668596152549831</c:v>
                </c:pt>
                <c:pt idx="20">
                  <c:v>22.762623795072468</c:v>
                </c:pt>
                <c:pt idx="21">
                  <c:v>22.83960711764518</c:v>
                </c:pt>
                <c:pt idx="22">
                  <c:v>22.90263573130958</c:v>
                </c:pt>
                <c:pt idx="23">
                  <c:v>22.954239195640493</c:v>
                </c:pt>
                <c:pt idx="24">
                  <c:v>22.996488538853576</c:v>
                </c:pt>
              </c:numCache>
            </c:numRef>
          </c:val>
          <c:smooth val="1"/>
          <c:extLst xmlns:c16r2="http://schemas.microsoft.com/office/drawing/2015/06/chart">
            <c:ext xmlns:c16="http://schemas.microsoft.com/office/drawing/2014/chart" uri="{C3380CC4-5D6E-409C-BE32-E72D297353CC}">
              <c16:uniqueId val="{00000006-6EF7-AD41-8646-1F378CB4718D}"/>
            </c:ext>
          </c:extLst>
        </c:ser>
        <c:ser>
          <c:idx val="7"/>
          <c:order val="7"/>
          <c:tx>
            <c:strRef>
              <c:f>Beer!$BT$2</c:f>
              <c:strCache>
                <c:ptCount val="1"/>
                <c:pt idx="0">
                  <c:v>1070</c:v>
                </c:pt>
              </c:strCache>
            </c:strRef>
          </c:tx>
          <c:cat>
            <c:numRef>
              <c:f>Beer!$BL$3:$BL$26</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Beer!$BT$3:$BT$27</c:f>
              <c:numCache>
                <c:formatCode>0.0</c:formatCode>
                <c:ptCount val="25"/>
                <c:pt idx="0">
                  <c:v>0</c:v>
                </c:pt>
                <c:pt idx="1">
                  <c:v>3.8418789669760982</c:v>
                </c:pt>
                <c:pt idx="2">
                  <c:v>6.9873434268428953</c:v>
                </c:pt>
                <c:pt idx="3">
                  <c:v>9.5626319128496693</c:v>
                </c:pt>
                <c:pt idx="4">
                  <c:v>11.671099794391049</c:v>
                </c:pt>
                <c:pt idx="5">
                  <c:v>13.397367290886161</c:v>
                </c:pt>
                <c:pt idx="6">
                  <c:v>14.810715578305642</c:v>
                </c:pt>
                <c:pt idx="7">
                  <c:v>15.967867286026078</c:v>
                </c:pt>
                <c:pt idx="8">
                  <c:v>16.9152629751135</c:v>
                </c:pt>
                <c:pt idx="9">
                  <c:v>17.690924961102876</c:v>
                </c:pt>
                <c:pt idx="10">
                  <c:v>18.32598328302592</c:v>
                </c:pt>
                <c:pt idx="11">
                  <c:v>18.845925061182417</c:v>
                </c:pt>
                <c:pt idx="12">
                  <c:v>19.27161738476919</c:v>
                </c:pt>
                <c:pt idx="13">
                  <c:v>19.620144781438903</c:v>
                </c:pt>
                <c:pt idx="14">
                  <c:v>19.905494879382605</c:v>
                </c:pt>
                <c:pt idx="15">
                  <c:v>20.139119779962929</c:v>
                </c:pt>
                <c:pt idx="16">
                  <c:v>20.330395670752825</c:v>
                </c:pt>
                <c:pt idx="17">
                  <c:v>20.486999124864901</c:v>
                </c:pt>
                <c:pt idx="18">
                  <c:v>20.615215188784695</c:v>
                </c:pt>
                <c:pt idx="19">
                  <c:v>20.72018962335444</c:v>
                </c:pt>
                <c:pt idx="20">
                  <c:v>20.806135421223662</c:v>
                </c:pt>
                <c:pt idx="21">
                  <c:v>20.876501889037023</c:v>
                </c:pt>
                <c:pt idx="22">
                  <c:v>20.934113080221287</c:v>
                </c:pt>
                <c:pt idx="23">
                  <c:v>20.981281134165304</c:v>
                </c:pt>
                <c:pt idx="24">
                  <c:v>21.019899070492109</c:v>
                </c:pt>
              </c:numCache>
            </c:numRef>
          </c:val>
          <c:smooth val="1"/>
          <c:extLst xmlns:c16r2="http://schemas.microsoft.com/office/drawing/2015/06/chart">
            <c:ext xmlns:c16="http://schemas.microsoft.com/office/drawing/2014/chart" uri="{C3380CC4-5D6E-409C-BE32-E72D297353CC}">
              <c16:uniqueId val="{00000007-6EF7-AD41-8646-1F378CB4718D}"/>
            </c:ext>
          </c:extLst>
        </c:ser>
        <c:ser>
          <c:idx val="8"/>
          <c:order val="8"/>
          <c:tx>
            <c:strRef>
              <c:f>Beer!$BU$2</c:f>
              <c:strCache>
                <c:ptCount val="1"/>
                <c:pt idx="0">
                  <c:v>1080</c:v>
                </c:pt>
              </c:strCache>
            </c:strRef>
          </c:tx>
          <c:cat>
            <c:numRef>
              <c:f>Beer!$BL$3:$BL$26</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Beer!$BU$3:$BU$27</c:f>
              <c:numCache>
                <c:formatCode>0.0</c:formatCode>
                <c:ptCount val="25"/>
                <c:pt idx="0">
                  <c:v>0</c:v>
                </c:pt>
                <c:pt idx="1">
                  <c:v>3.5116625736335121</c:v>
                </c:pt>
                <c:pt idx="2">
                  <c:v>6.3867687171002387</c:v>
                </c:pt>
                <c:pt idx="3">
                  <c:v>8.7407065351198856</c:v>
                </c:pt>
                <c:pt idx="4">
                  <c:v>10.667947817565853</c:v>
                </c:pt>
                <c:pt idx="5">
                  <c:v>12.245839524105815</c:v>
                </c:pt>
                <c:pt idx="6">
                  <c:v>13.537707989276779</c:v>
                </c:pt>
                <c:pt idx="7">
                  <c:v>14.595400430643901</c:v>
                </c:pt>
                <c:pt idx="8">
                  <c:v>15.461365759689293</c:v>
                </c:pt>
                <c:pt idx="9">
                  <c:v>16.170358205678045</c:v>
                </c:pt>
                <c:pt idx="10">
                  <c:v>16.750832124909024</c:v>
                </c:pt>
                <c:pt idx="11">
                  <c:v>17.226083973943126</c:v>
                </c:pt>
                <c:pt idx="12">
                  <c:v>17.615187278204523</c:v>
                </c:pt>
                <c:pt idx="13">
                  <c:v>17.933758119527582</c:v>
                </c:pt>
                <c:pt idx="14">
                  <c:v>18.194581864352703</c:v>
                </c:pt>
                <c:pt idx="15">
                  <c:v>18.408126285373989</c:v>
                </c:pt>
                <c:pt idx="16">
                  <c:v>18.582961670012352</c:v>
                </c:pt>
                <c:pt idx="17">
                  <c:v>18.726104776141995</c:v>
                </c:pt>
                <c:pt idx="18">
                  <c:v>18.843300439221441</c:v>
                </c:pt>
                <c:pt idx="19">
                  <c:v>18.939252132711946</c:v>
                </c:pt>
                <c:pt idx="20">
                  <c:v>19.017810734982536</c:v>
                </c:pt>
                <c:pt idx="21">
                  <c:v>19.082129078580294</c:v>
                </c:pt>
                <c:pt idx="22">
                  <c:v>19.13478848447081</c:v>
                </c:pt>
                <c:pt idx="23">
                  <c:v>19.177902359512192</c:v>
                </c:pt>
                <c:pt idx="24">
                  <c:v>19.213201014892931</c:v>
                </c:pt>
              </c:numCache>
            </c:numRef>
          </c:val>
          <c:smooth val="1"/>
          <c:extLst xmlns:c16r2="http://schemas.microsoft.com/office/drawing/2015/06/chart">
            <c:ext xmlns:c16="http://schemas.microsoft.com/office/drawing/2014/chart" uri="{C3380CC4-5D6E-409C-BE32-E72D297353CC}">
              <c16:uniqueId val="{00000008-6EF7-AD41-8646-1F378CB4718D}"/>
            </c:ext>
          </c:extLst>
        </c:ser>
        <c:ser>
          <c:idx val="9"/>
          <c:order val="9"/>
          <c:tx>
            <c:strRef>
              <c:f>Beer!$BV$2</c:f>
              <c:strCache>
                <c:ptCount val="1"/>
                <c:pt idx="0">
                  <c:v>1090</c:v>
                </c:pt>
              </c:strCache>
            </c:strRef>
          </c:tx>
          <c:cat>
            <c:numRef>
              <c:f>Beer!$BL$3:$BL$26</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Beer!$BV$3:$BV$27</c:f>
              <c:numCache>
                <c:formatCode>0.0</c:formatCode>
                <c:ptCount val="25"/>
                <c:pt idx="0">
                  <c:v>0</c:v>
                </c:pt>
                <c:pt idx="1">
                  <c:v>3.2098288720335573</c:v>
                </c:pt>
                <c:pt idx="2">
                  <c:v>5.8378144816850392</c:v>
                </c:pt>
                <c:pt idx="3">
                  <c:v>7.989427118953099</c:v>
                </c:pt>
                <c:pt idx="4">
                  <c:v>9.7510185537956797</c:v>
                </c:pt>
                <c:pt idx="5">
                  <c:v>11.193287635860067</c:v>
                </c:pt>
                <c:pt idx="6">
                  <c:v>12.37411768755973</c:v>
                </c:pt>
                <c:pt idx="7">
                  <c:v>13.340899565044911</c:v>
                </c:pt>
                <c:pt idx="8">
                  <c:v>14.1324336196605</c:v>
                </c:pt>
                <c:pt idx="9">
                  <c:v>14.780486892282784</c:v>
                </c:pt>
                <c:pt idx="10">
                  <c:v>15.311068036211481</c:v>
                </c:pt>
                <c:pt idx="11">
                  <c:v>15.745471135749201</c:v>
                </c:pt>
                <c:pt idx="12">
                  <c:v>16.101130312573126</c:v>
                </c:pt>
                <c:pt idx="13">
                  <c:v>16.392319418253273</c:v>
                </c:pt>
                <c:pt idx="14">
                  <c:v>16.630724894034884</c:v>
                </c:pt>
                <c:pt idx="15">
                  <c:v>16.825914788759476</c:v>
                </c:pt>
                <c:pt idx="16">
                  <c:v>16.985722758260557</c:v>
                </c:pt>
                <c:pt idx="17">
                  <c:v>17.11656245747804</c:v>
                </c:pt>
                <c:pt idx="18">
                  <c:v>17.223684942950864</c:v>
                </c:pt>
                <c:pt idx="19">
                  <c:v>17.311389416153613</c:v>
                </c:pt>
                <c:pt idx="20">
                  <c:v>17.38319576554721</c:v>
                </c:pt>
                <c:pt idx="21">
                  <c:v>17.441985832062009</c:v>
                </c:pt>
                <c:pt idx="22">
                  <c:v>17.490119067493175</c:v>
                </c:pt>
                <c:pt idx="23">
                  <c:v>17.529527227585813</c:v>
                </c:pt>
                <c:pt idx="24">
                  <c:v>17.561791900175876</c:v>
                </c:pt>
              </c:numCache>
            </c:numRef>
          </c:val>
          <c:smooth val="1"/>
          <c:extLst xmlns:c16r2="http://schemas.microsoft.com/office/drawing/2015/06/chart">
            <c:ext xmlns:c16="http://schemas.microsoft.com/office/drawing/2014/chart" uri="{C3380CC4-5D6E-409C-BE32-E72D297353CC}">
              <c16:uniqueId val="{00000009-6EF7-AD41-8646-1F378CB4718D}"/>
            </c:ext>
          </c:extLst>
        </c:ser>
        <c:ser>
          <c:idx val="10"/>
          <c:order val="10"/>
          <c:tx>
            <c:strRef>
              <c:f>Beer!$BW$2</c:f>
              <c:strCache>
                <c:ptCount val="1"/>
                <c:pt idx="0">
                  <c:v>1100</c:v>
                </c:pt>
              </c:strCache>
            </c:strRef>
          </c:tx>
          <c:cat>
            <c:numRef>
              <c:f>Beer!$BL$3:$BL$26</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Beer!$BW$3:$BW$27</c:f>
              <c:numCache>
                <c:formatCode>0.0</c:formatCode>
                <c:ptCount val="25"/>
                <c:pt idx="0">
                  <c:v>0</c:v>
                </c:pt>
                <c:pt idx="1">
                  <c:v>2.9339383188743331</c:v>
                </c:pt>
                <c:pt idx="2">
                  <c:v>5.3360438481706627</c:v>
                </c:pt>
                <c:pt idx="3">
                  <c:v>7.3027215171442323</c:v>
                </c:pt>
                <c:pt idx="4">
                  <c:v>8.9129010061246117</c:v>
                </c:pt>
                <c:pt idx="5">
                  <c:v>10.231204471728239</c:v>
                </c:pt>
                <c:pt idx="6">
                  <c:v>11.310540060907208</c:v>
                </c:pt>
                <c:pt idx="7">
                  <c:v>12.194225300659575</c:v>
                </c:pt>
                <c:pt idx="8">
                  <c:v>12.917725582485927</c:v>
                </c:pt>
                <c:pt idx="9">
                  <c:v>13.510077513077746</c:v>
                </c:pt>
                <c:pt idx="10">
                  <c:v>13.995054255298383</c:v>
                </c:pt>
                <c:pt idx="11">
                  <c:v>14.392119628681993</c:v>
                </c:pt>
                <c:pt idx="12">
                  <c:v>14.717209260853547</c:v>
                </c:pt>
                <c:pt idx="13">
                  <c:v>14.983370140219206</c:v>
                </c:pt>
                <c:pt idx="14">
                  <c:v>15.201284237422151</c:v>
                </c:pt>
                <c:pt idx="15">
                  <c:v>15.379697210331424</c:v>
                </c:pt>
                <c:pt idx="16">
                  <c:v>15.525769398000316</c:v>
                </c:pt>
                <c:pt idx="17">
                  <c:v>15.645363190214216</c:v>
                </c:pt>
                <c:pt idx="18">
                  <c:v>15.743278305776956</c:v>
                </c:pt>
                <c:pt idx="19">
                  <c:v>15.823444422079353</c:v>
                </c:pt>
                <c:pt idx="20">
                  <c:v>15.889078886850953</c:v>
                </c:pt>
                <c:pt idx="21">
                  <c:v>15.942815841621275</c:v>
                </c:pt>
                <c:pt idx="22">
                  <c:v>15.986811939068499</c:v>
                </c:pt>
                <c:pt idx="23">
                  <c:v>16.022832897063957</c:v>
                </c:pt>
                <c:pt idx="24">
                  <c:v>16.052324363130168</c:v>
                </c:pt>
              </c:numCache>
            </c:numRef>
          </c:val>
          <c:smooth val="1"/>
          <c:extLst xmlns:c16r2="http://schemas.microsoft.com/office/drawing/2015/06/chart">
            <c:ext xmlns:c16="http://schemas.microsoft.com/office/drawing/2014/chart" uri="{C3380CC4-5D6E-409C-BE32-E72D297353CC}">
              <c16:uniqueId val="{0000000A-6EF7-AD41-8646-1F378CB4718D}"/>
            </c:ext>
          </c:extLst>
        </c:ser>
        <c:ser>
          <c:idx val="11"/>
          <c:order val="11"/>
          <c:tx>
            <c:strRef>
              <c:f>Beer!$BX$2</c:f>
              <c:strCache>
                <c:ptCount val="1"/>
                <c:pt idx="0">
                  <c:v>1110</c:v>
                </c:pt>
              </c:strCache>
            </c:strRef>
          </c:tx>
          <c:cat>
            <c:numRef>
              <c:f>Beer!$BL$3:$BL$26</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Beer!$BX$3:$BX$27</c:f>
              <c:numCache>
                <c:formatCode>0.0</c:formatCode>
                <c:ptCount val="25"/>
                <c:pt idx="0">
                  <c:v>0</c:v>
                </c:pt>
                <c:pt idx="1">
                  <c:v>2.6817610539796886</c:v>
                </c:pt>
                <c:pt idx="2">
                  <c:v>4.8774013012796793</c:v>
                </c:pt>
                <c:pt idx="3">
                  <c:v>6.6750394944399298</c:v>
                </c:pt>
                <c:pt idx="4">
                  <c:v>8.1468211660877632</c:v>
                </c:pt>
                <c:pt idx="5">
                  <c:v>9.3518140824823632</c:v>
                </c:pt>
                <c:pt idx="6">
                  <c:v>10.338378840375748</c:v>
                </c:pt>
                <c:pt idx="7">
                  <c:v>11.146109747565999</c:v>
                </c:pt>
                <c:pt idx="8">
                  <c:v>11.807423881494234</c:v>
                </c:pt>
                <c:pt idx="9">
                  <c:v>12.348862100386409</c:v>
                </c:pt>
                <c:pt idx="10">
                  <c:v>12.792154221085202</c:v>
                </c:pt>
                <c:pt idx="11">
                  <c:v>13.155091112898457</c:v>
                </c:pt>
                <c:pt idx="12">
                  <c:v>13.45223870765251</c:v>
                </c:pt>
                <c:pt idx="13">
                  <c:v>13.695522581680803</c:v>
                </c:pt>
                <c:pt idx="14">
                  <c:v>13.894706571075719</c:v>
                </c:pt>
                <c:pt idx="15">
                  <c:v>14.057784628714094</c:v>
                </c:pt>
                <c:pt idx="16">
                  <c:v>14.191301649654857</c:v>
                </c:pt>
                <c:pt idx="17">
                  <c:v>14.300616140758414</c:v>
                </c:pt>
                <c:pt idx="18">
                  <c:v>14.390115276381968</c:v>
                </c:pt>
                <c:pt idx="19">
                  <c:v>14.463390971090869</c:v>
                </c:pt>
                <c:pt idx="20">
                  <c:v>14.523384035802197</c:v>
                </c:pt>
                <c:pt idx="21">
                  <c:v>14.57250220285276</c:v>
                </c:pt>
                <c:pt idx="22">
                  <c:v>14.612716756751878</c:v>
                </c:pt>
                <c:pt idx="23">
                  <c:v>14.645641648750399</c:v>
                </c:pt>
                <c:pt idx="24">
                  <c:v>14.672598270371356</c:v>
                </c:pt>
              </c:numCache>
            </c:numRef>
          </c:val>
          <c:smooth val="1"/>
          <c:extLst xmlns:c16r2="http://schemas.microsoft.com/office/drawing/2015/06/chart">
            <c:ext xmlns:c16="http://schemas.microsoft.com/office/drawing/2014/chart" uri="{C3380CC4-5D6E-409C-BE32-E72D297353CC}">
              <c16:uniqueId val="{0000000B-6EF7-AD41-8646-1F378CB4718D}"/>
            </c:ext>
          </c:extLst>
        </c:ser>
        <c:ser>
          <c:idx val="12"/>
          <c:order val="12"/>
          <c:tx>
            <c:strRef>
              <c:f>Beer!$BY$2</c:f>
              <c:strCache>
                <c:ptCount val="1"/>
                <c:pt idx="0">
                  <c:v>1120</c:v>
                </c:pt>
              </c:strCache>
            </c:strRef>
          </c:tx>
          <c:cat>
            <c:numRef>
              <c:f>Beer!$BL$3:$BL$26</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Beer!$BY$3:$BY$27</c:f>
              <c:numCache>
                <c:formatCode>0.0</c:formatCode>
                <c:ptCount val="25"/>
                <c:pt idx="0">
                  <c:v>0</c:v>
                </c:pt>
                <c:pt idx="1">
                  <c:v>2.4512588776581885</c:v>
                </c:pt>
                <c:pt idx="2">
                  <c:v>4.4581799045523649</c:v>
                </c:pt>
                <c:pt idx="3">
                  <c:v>6.1013078682694726</c:v>
                </c:pt>
                <c:pt idx="4">
                  <c:v>7.4465872634070687</c:v>
                </c:pt>
                <c:pt idx="5">
                  <c:v>8.5480088756883656</c:v>
                </c:pt>
                <c:pt idx="6">
                  <c:v>9.4497766217677945</c:v>
                </c:pt>
                <c:pt idx="7">
                  <c:v>10.188081607616843</c:v>
                </c:pt>
                <c:pt idx="8">
                  <c:v>10.792554604682264</c:v>
                </c:pt>
                <c:pt idx="9">
                  <c:v>11.287455236784938</c:v>
                </c:pt>
                <c:pt idx="10">
                  <c:v>11.692645604005131</c:v>
                </c:pt>
                <c:pt idx="11">
                  <c:v>12.024387418499263</c:v>
                </c:pt>
                <c:pt idx="12">
                  <c:v>12.2959946441075</c:v>
                </c:pt>
                <c:pt idx="13">
                  <c:v>12.518367832471153</c:v>
                </c:pt>
                <c:pt idx="14">
                  <c:v>12.70043160044448</c:v>
                </c:pt>
                <c:pt idx="15">
                  <c:v>12.849492806305495</c:v>
                </c:pt>
                <c:pt idx="16">
                  <c:v>12.971533799634797</c:v>
                </c:pt>
                <c:pt idx="17">
                  <c:v>13.07145251400968</c:v>
                </c:pt>
                <c:pt idx="18">
                  <c:v>13.153259038276413</c:v>
                </c:pt>
                <c:pt idx="19">
                  <c:v>13.220236555496008</c:v>
                </c:pt>
                <c:pt idx="20">
                  <c:v>13.275073108608499</c:v>
                </c:pt>
                <c:pt idx="21">
                  <c:v>13.319969481034491</c:v>
                </c:pt>
                <c:pt idx="22">
                  <c:v>13.356727521841291</c:v>
                </c:pt>
                <c:pt idx="23">
                  <c:v>13.386822460272716</c:v>
                </c:pt>
                <c:pt idx="24">
                  <c:v>13.411462111878512</c:v>
                </c:pt>
              </c:numCache>
            </c:numRef>
          </c:val>
          <c:extLst xmlns:c16r2="http://schemas.microsoft.com/office/drawing/2015/06/chart">
            <c:ext xmlns:c16="http://schemas.microsoft.com/office/drawing/2014/chart" uri="{C3380CC4-5D6E-409C-BE32-E72D297353CC}">
              <c16:uniqueId val="{0000000C-6EF7-AD41-8646-1F378CB4718D}"/>
            </c:ext>
          </c:extLst>
        </c:ser>
        <c:ser>
          <c:idx val="13"/>
          <c:order val="13"/>
          <c:tx>
            <c:strRef>
              <c:f>Beer!$BZ$2</c:f>
              <c:strCache>
                <c:ptCount val="1"/>
                <c:pt idx="0">
                  <c:v>1130</c:v>
                </c:pt>
              </c:strCache>
            </c:strRef>
          </c:tx>
          <c:cat>
            <c:numRef>
              <c:f>Beer!$BL$3:$BL$26</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Beer!$BZ$3:$BZ$27</c:f>
              <c:numCache>
                <c:formatCode>0.0</c:formatCode>
                <c:ptCount val="25"/>
                <c:pt idx="0">
                  <c:v>0</c:v>
                </c:pt>
                <c:pt idx="1">
                  <c:v>2.2405687771404268</c:v>
                </c:pt>
                <c:pt idx="2">
                  <c:v>4.0749913393716204</c:v>
                </c:pt>
                <c:pt idx="3">
                  <c:v>5.5768895052104082</c:v>
                </c:pt>
                <c:pt idx="4">
                  <c:v>6.8065397215740377</c:v>
                </c:pt>
                <c:pt idx="5">
                  <c:v>7.8132921692399355</c:v>
                </c:pt>
                <c:pt idx="6">
                  <c:v>8.6375513588805362</c:v>
                </c:pt>
                <c:pt idx="7">
                  <c:v>9.3123977059464345</c:v>
                </c:pt>
                <c:pt idx="8">
                  <c:v>9.8649151638916219</c:v>
                </c:pt>
                <c:pt idx="9">
                  <c:v>10.317278198323816</c:v>
                </c:pt>
                <c:pt idx="10">
                  <c:v>10.687641726169129</c:v>
                </c:pt>
                <c:pt idx="11">
                  <c:v>10.990869736234538</c:v>
                </c:pt>
                <c:pt idx="12">
                  <c:v>11.239131833269731</c:v>
                </c:pt>
                <c:pt idx="13">
                  <c:v>11.442391646936072</c:v>
                </c:pt>
                <c:pt idx="14">
                  <c:v>11.608806707249606</c:v>
                </c:pt>
                <c:pt idx="15">
                  <c:v>11.745055834903624</c:v>
                </c:pt>
                <c:pt idx="16">
                  <c:v>11.856607185794015</c:v>
                </c:pt>
                <c:pt idx="17">
                  <c:v>11.947937707315372</c:v>
                </c:pt>
                <c:pt idx="18">
                  <c:v>12.022712813979556</c:v>
                </c:pt>
                <c:pt idx="19">
                  <c:v>12.083933493370212</c:v>
                </c:pt>
                <c:pt idx="20">
                  <c:v>12.134056746311668</c:v>
                </c:pt>
                <c:pt idx="21">
                  <c:v>12.175094194939145</c:v>
                </c:pt>
                <c:pt idx="22">
                  <c:v>12.208692816158319</c:v>
                </c:pt>
                <c:pt idx="23">
                  <c:v>12.236201040611475</c:v>
                </c:pt>
                <c:pt idx="24">
                  <c:v>12.258722869933843</c:v>
                </c:pt>
              </c:numCache>
            </c:numRef>
          </c:val>
          <c:extLst xmlns:c16r2="http://schemas.microsoft.com/office/drawing/2015/06/chart">
            <c:ext xmlns:c16="http://schemas.microsoft.com/office/drawing/2014/chart" uri="{C3380CC4-5D6E-409C-BE32-E72D297353CC}">
              <c16:uniqueId val="{0000000D-6EF7-AD41-8646-1F378CB4718D}"/>
            </c:ext>
          </c:extLst>
        </c:ser>
        <c:ser>
          <c:idx val="14"/>
          <c:order val="14"/>
          <c:tx>
            <c:strRef>
              <c:f>Beer!$CA$2</c:f>
              <c:strCache>
                <c:ptCount val="1"/>
                <c:pt idx="0">
                  <c:v>1140</c:v>
                </c:pt>
              </c:strCache>
            </c:strRef>
          </c:tx>
          <c:cat>
            <c:numRef>
              <c:f>Beer!$BL$3:$BL$26</c:f>
              <c:numCache>
                <c:formatCode>0</c:formatCode>
                <c:ptCount val="24"/>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numCache>
            </c:numRef>
          </c:cat>
          <c:val>
            <c:numRef>
              <c:f>Beer!$CA$3:$CA$27</c:f>
              <c:numCache>
                <c:formatCode>0.0</c:formatCode>
                <c:ptCount val="25"/>
                <c:pt idx="0">
                  <c:v>0</c:v>
                </c:pt>
                <c:pt idx="1">
                  <c:v>2.0479878689486033</c:v>
                </c:pt>
                <c:pt idx="2">
                  <c:v>3.724738519187464</c:v>
                </c:pt>
                <c:pt idx="3">
                  <c:v>5.0975458417815229</c:v>
                </c:pt>
                <c:pt idx="4">
                  <c:v>6.2215054148399238</c:v>
                </c:pt>
                <c:pt idx="5">
                  <c:v>7.1417256825192359</c:v>
                </c:pt>
                <c:pt idx="6">
                  <c:v>7.8951383152739396</c:v>
                </c:pt>
                <c:pt idx="7">
                  <c:v>8.5119804074676644</c:v>
                </c:pt>
                <c:pt idx="8">
                  <c:v>9.0170079981396327</c:v>
                </c:pt>
                <c:pt idx="9">
                  <c:v>9.430489617775649</c:v>
                </c:pt>
                <c:pt idx="10">
                  <c:v>9.7690197356041502</c:v>
                </c:pt>
                <c:pt idx="11">
                  <c:v>10.046184753913456</c:v>
                </c:pt>
                <c:pt idx="12">
                  <c:v>10.273108278080707</c:v>
                </c:pt>
                <c:pt idx="13">
                  <c:v>10.45889754591327</c:v>
                </c:pt>
                <c:pt idx="14">
                  <c:v>10.611008933079631</c:v>
                </c:pt>
                <c:pt idx="15">
                  <c:v>10.735547203646082</c:v>
                </c:pt>
                <c:pt idx="16">
                  <c:v>10.837510515693982</c:v>
                </c:pt>
                <c:pt idx="17">
                  <c:v>10.920991014953284</c:v>
                </c:pt>
                <c:pt idx="18">
                  <c:v>10.989339066979179</c:v>
                </c:pt>
                <c:pt idx="19">
                  <c:v>11.045297719085754</c:v>
                </c:pt>
                <c:pt idx="20">
                  <c:v>11.091112788466196</c:v>
                </c:pt>
                <c:pt idx="21">
                  <c:v>11.128622994722367</c:v>
                </c:pt>
                <c:pt idx="22">
                  <c:v>11.159333754138594</c:v>
                </c:pt>
                <c:pt idx="23">
                  <c:v>11.184477597323037</c:v>
                </c:pt>
                <c:pt idx="24">
                  <c:v>11.20506363498871</c:v>
                </c:pt>
              </c:numCache>
            </c:numRef>
          </c:val>
          <c:extLst xmlns:c16r2="http://schemas.microsoft.com/office/drawing/2015/06/chart">
            <c:ext xmlns:c16="http://schemas.microsoft.com/office/drawing/2014/chart" uri="{C3380CC4-5D6E-409C-BE32-E72D297353CC}">
              <c16:uniqueId val="{0000000E-6EF7-AD41-8646-1F378CB4718D}"/>
            </c:ext>
          </c:extLst>
        </c:ser>
        <c:marker val="1"/>
        <c:axId val="93817088"/>
        <c:axId val="93852032"/>
      </c:lineChart>
      <c:catAx>
        <c:axId val="93817088"/>
        <c:scaling>
          <c:orientation val="minMax"/>
        </c:scaling>
        <c:axPos val="b"/>
        <c:majorGridlines/>
        <c:title>
          <c:tx>
            <c:rich>
              <a:bodyPr/>
              <a:lstStyle/>
              <a:p>
                <a:pPr>
                  <a:defRPr sz="1600">
                    <a:latin typeface="Times New Roman" pitchFamily="18" charset="0"/>
                    <a:cs typeface="Times New Roman" pitchFamily="18" charset="0"/>
                  </a:defRPr>
                </a:pPr>
                <a:r>
                  <a:rPr lang="en-GB" sz="1600">
                    <a:latin typeface="Times New Roman" pitchFamily="18" charset="0"/>
                    <a:cs typeface="Times New Roman" pitchFamily="18" charset="0"/>
                  </a:rPr>
                  <a:t>Boil Time (mins)</a:t>
                </a:r>
              </a:p>
            </c:rich>
          </c:tx>
          <c:layout>
            <c:manualLayout>
              <c:xMode val="edge"/>
              <c:yMode val="edge"/>
              <c:x val="0.39023879274618806"/>
              <c:y val="0.93402161686312479"/>
            </c:manualLayout>
          </c:layout>
        </c:title>
        <c:numFmt formatCode="0" sourceLinked="1"/>
        <c:tickLblPos val="nextTo"/>
        <c:txPr>
          <a:bodyPr rot="0" vert="horz"/>
          <a:lstStyle/>
          <a:p>
            <a:pPr>
              <a:defRPr sz="1000" b="1">
                <a:latin typeface="Times New Roman" pitchFamily="18" charset="0"/>
                <a:cs typeface="Times New Roman" pitchFamily="18" charset="0"/>
              </a:defRPr>
            </a:pPr>
            <a:endParaRPr lang="en-US"/>
          </a:p>
        </c:txPr>
        <c:crossAx val="93852032"/>
        <c:crosses val="autoZero"/>
        <c:lblAlgn val="ctr"/>
        <c:lblOffset val="0"/>
        <c:tickLblSkip val="1"/>
        <c:tickMarkSkip val="1"/>
      </c:catAx>
      <c:valAx>
        <c:axId val="93852032"/>
        <c:scaling>
          <c:orientation val="minMax"/>
          <c:max val="31"/>
          <c:min val="0"/>
        </c:scaling>
        <c:axPos val="l"/>
        <c:majorGridlines/>
        <c:title>
          <c:tx>
            <c:rich>
              <a:bodyPr/>
              <a:lstStyle/>
              <a:p>
                <a:pPr>
                  <a:defRPr sz="1600">
                    <a:latin typeface="Times New Roman" pitchFamily="18" charset="0"/>
                    <a:cs typeface="Times New Roman" pitchFamily="18" charset="0"/>
                  </a:defRPr>
                </a:pPr>
                <a:r>
                  <a:rPr lang="en-US" sz="1600">
                    <a:latin typeface="Times New Roman" pitchFamily="18" charset="0"/>
                    <a:cs typeface="Times New Roman" pitchFamily="18" charset="0"/>
                  </a:rPr>
                  <a:t>Hop Utilization %</a:t>
                </a:r>
              </a:p>
            </c:rich>
          </c:tx>
          <c:layout>
            <c:manualLayout>
              <c:xMode val="edge"/>
              <c:yMode val="edge"/>
              <c:x val="1.3199801145019983E-3"/>
              <c:y val="0.3020596346467555"/>
            </c:manualLayout>
          </c:layout>
        </c:title>
        <c:numFmt formatCode="0" sourceLinked="0"/>
        <c:tickLblPos val="nextTo"/>
        <c:txPr>
          <a:bodyPr rot="0" vert="horz"/>
          <a:lstStyle/>
          <a:p>
            <a:pPr>
              <a:defRPr sz="1000" b="1">
                <a:latin typeface="Times New Roman" pitchFamily="18" charset="0"/>
                <a:cs typeface="Times New Roman" pitchFamily="18" charset="0"/>
              </a:defRPr>
            </a:pPr>
            <a:endParaRPr lang="en-US"/>
          </a:p>
        </c:txPr>
        <c:crossAx val="93817088"/>
        <c:crosses val="autoZero"/>
        <c:crossBetween val="midCat"/>
      </c:valAx>
    </c:plotArea>
    <c:legend>
      <c:legendPos val="r"/>
      <c:layout>
        <c:manualLayout>
          <c:xMode val="edge"/>
          <c:yMode val="edge"/>
          <c:x val="0.86767067049410851"/>
          <c:y val="2.3930923134751289E-4"/>
          <c:w val="0.10961447792549379"/>
          <c:h val="0.60685186090869714"/>
        </c:manualLayout>
      </c:layout>
    </c:legend>
    <c:plotVisOnly val="1"/>
    <c:dispBlanksAs val="gap"/>
  </c:chart>
  <c:printSettings>
    <c:headerFooter alignWithMargins="0">
      <c:oddHeader>&amp;A</c:oddHeader>
      <c:oddFooter>Page &amp;P</c:oddFooter>
    </c:headerFooter>
    <c:pageMargins b="1" l="0.75000000000001465" r="0.75000000000001465" t="1" header="0.5" footer="0.5"/>
    <c:pageSetup paperSize="9" orientation="landscape" horizontalDpi="300" verticalDpi="144"/>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9.jpeg"/><Relationship Id="rId2" Type="http://schemas.openxmlformats.org/officeDocument/2006/relationships/image" Target="../media/image5.jpeg"/><Relationship Id="rId1" Type="http://schemas.openxmlformats.org/officeDocument/2006/relationships/image" Target="../media/image3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hyperlink" Target="http://www.yobrew.co.uk/" TargetMode="External"/><Relationship Id="rId1" Type="http://schemas.openxmlformats.org/officeDocument/2006/relationships/image" Target="../media/image6.jpeg"/><Relationship Id="rId6" Type="http://schemas.openxmlformats.org/officeDocument/2006/relationships/image" Target="../media/image9.jpeg"/><Relationship Id="rId5" Type="http://schemas.openxmlformats.org/officeDocument/2006/relationships/hyperlink" Target="http://www.petespintpot.co.uk/Noises%20For%20The%20Leg,%20Bonzo%20Dog%20Doo-Dah%20Band.mp3" TargetMode="External"/><Relationship Id="rId4" Type="http://schemas.openxmlformats.org/officeDocument/2006/relationships/image" Target="../media/image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2.jpeg"/><Relationship Id="rId7" Type="http://schemas.openxmlformats.org/officeDocument/2006/relationships/hyperlink" Target="http://www.petespintpot.co.uk/Noises%20For%20The%20Leg,%20Bonzo%20Dog%20Doo-Dah%20Band.mp3" TargetMode="External"/><Relationship Id="rId12" Type="http://schemas.openxmlformats.org/officeDocument/2006/relationships/image" Target="../media/image20.jpeg"/><Relationship Id="rId2" Type="http://schemas.openxmlformats.org/officeDocument/2006/relationships/image" Target="../media/image15.jpeg"/><Relationship Id="rId1" Type="http://schemas.openxmlformats.org/officeDocument/2006/relationships/chart" Target="../charts/chart1.xml"/><Relationship Id="rId6" Type="http://schemas.openxmlformats.org/officeDocument/2006/relationships/image" Target="../media/image17.png"/><Relationship Id="rId11" Type="http://schemas.openxmlformats.org/officeDocument/2006/relationships/image" Target="../media/image11.jpeg"/><Relationship Id="rId5" Type="http://schemas.openxmlformats.org/officeDocument/2006/relationships/hyperlink" Target="http://www.youtube.com/watch?v=-tHyRQOdqf0" TargetMode="External"/><Relationship Id="rId10" Type="http://schemas.openxmlformats.org/officeDocument/2006/relationships/image" Target="../media/image19.png"/><Relationship Id="rId4" Type="http://schemas.openxmlformats.org/officeDocument/2006/relationships/image" Target="../media/image16.png"/><Relationship Id="rId9" Type="http://schemas.openxmlformats.org/officeDocument/2006/relationships/image" Target="https://encrypted-tbn2.gstatic.com/images?q=tbn:ANd9GcREucfqX61srBPqlPB-lELHDH9Jqr7RQhckHkNlJI_iNEYf5WYy"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28.jpeg"/><Relationship Id="rId13" Type="http://schemas.openxmlformats.org/officeDocument/2006/relationships/image" Target="../media/image33.jpeg"/><Relationship Id="rId3" Type="http://schemas.openxmlformats.org/officeDocument/2006/relationships/image" Target="../media/image23.jpeg"/><Relationship Id="rId7" Type="http://schemas.openxmlformats.org/officeDocument/2006/relationships/image" Target="../media/image27.jpeg"/><Relationship Id="rId12" Type="http://schemas.openxmlformats.org/officeDocument/2006/relationships/image" Target="../media/image32.jpeg"/><Relationship Id="rId2" Type="http://schemas.openxmlformats.org/officeDocument/2006/relationships/image" Target="../media/image22.jpeg"/><Relationship Id="rId1" Type="http://schemas.openxmlformats.org/officeDocument/2006/relationships/image" Target="../media/image21.jpeg"/><Relationship Id="rId6" Type="http://schemas.openxmlformats.org/officeDocument/2006/relationships/image" Target="../media/image26.jpeg"/><Relationship Id="rId11" Type="http://schemas.openxmlformats.org/officeDocument/2006/relationships/image" Target="../media/image31.jpeg"/><Relationship Id="rId5" Type="http://schemas.openxmlformats.org/officeDocument/2006/relationships/image" Target="../media/image25.png"/><Relationship Id="rId10" Type="http://schemas.openxmlformats.org/officeDocument/2006/relationships/image" Target="../media/image30.jpeg"/><Relationship Id="rId4" Type="http://schemas.openxmlformats.org/officeDocument/2006/relationships/image" Target="../media/image24.jpeg"/><Relationship Id="rId9" Type="http://schemas.openxmlformats.org/officeDocument/2006/relationships/image" Target="../media/image2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12.jpeg"/><Relationship Id="rId1" Type="http://schemas.openxmlformats.org/officeDocument/2006/relationships/image" Target="../media/image34.jpeg"/><Relationship Id="rId4" Type="http://schemas.openxmlformats.org/officeDocument/2006/relationships/image" Target="../media/image36.jpeg"/></Relationships>
</file>

<file path=xl/drawings/drawing1.xml><?xml version="1.0" encoding="utf-8"?>
<xdr:wsDr xmlns:xdr="http://schemas.openxmlformats.org/drawingml/2006/spreadsheetDrawing" xmlns:a="http://schemas.openxmlformats.org/drawingml/2006/main">
  <xdr:twoCellAnchor>
    <xdr:from>
      <xdr:col>6</xdr:col>
      <xdr:colOff>15239</xdr:colOff>
      <xdr:row>171</xdr:row>
      <xdr:rowOff>98474</xdr:rowOff>
    </xdr:from>
    <xdr:to>
      <xdr:col>12</xdr:col>
      <xdr:colOff>626934</xdr:colOff>
      <xdr:row>171</xdr:row>
      <xdr:rowOff>98474</xdr:rowOff>
    </xdr:to>
    <xdr:sp macro="" textlink="">
      <xdr:nvSpPr>
        <xdr:cNvPr id="2" name="Line 67">
          <a:extLst>
            <a:ext uri="{FF2B5EF4-FFF2-40B4-BE49-F238E27FC236}">
              <a16:creationId xmlns:a16="http://schemas.microsoft.com/office/drawing/2014/main" xmlns="" id="{00000000-0008-0000-0100-000002000000}"/>
            </a:ext>
          </a:extLst>
        </xdr:cNvPr>
        <xdr:cNvSpPr>
          <a:spLocks noChangeShapeType="1"/>
        </xdr:cNvSpPr>
      </xdr:nvSpPr>
      <xdr:spPr bwMode="auto">
        <a:xfrm>
          <a:off x="5552654" y="33371398"/>
          <a:ext cx="4680000" cy="0"/>
        </a:xfrm>
        <a:prstGeom prst="line">
          <a:avLst/>
        </a:prstGeom>
        <a:noFill/>
        <a:ln w="9525">
          <a:solidFill>
            <a:srgbClr val="000000"/>
          </a:solidFill>
          <a:round/>
          <a:headEnd/>
          <a:tailEnd type="triangle" w="med" len="med"/>
        </a:ln>
      </xdr:spPr>
    </xdr:sp>
    <xdr:clientData/>
  </xdr:twoCellAnchor>
  <xdr:twoCellAnchor>
    <xdr:from>
      <xdr:col>4</xdr:col>
      <xdr:colOff>70813</xdr:colOff>
      <xdr:row>207</xdr:row>
      <xdr:rowOff>0</xdr:rowOff>
    </xdr:from>
    <xdr:to>
      <xdr:col>18</xdr:col>
      <xdr:colOff>35253</xdr:colOff>
      <xdr:row>247</xdr:row>
      <xdr:rowOff>0</xdr:rowOff>
    </xdr:to>
    <xdr:sp macro="" textlink="" fLocksText="0">
      <xdr:nvSpPr>
        <xdr:cNvPr id="3" name="Text Box 19">
          <a:extLst>
            <a:ext uri="{FF2B5EF4-FFF2-40B4-BE49-F238E27FC236}">
              <a16:creationId xmlns:a16="http://schemas.microsoft.com/office/drawing/2014/main" xmlns="" id="{00000000-0008-0000-0100-000003000000}"/>
            </a:ext>
          </a:extLst>
        </xdr:cNvPr>
        <xdr:cNvSpPr txBox="1">
          <a:spLocks noChangeArrowheads="1"/>
        </xdr:cNvSpPr>
      </xdr:nvSpPr>
      <xdr:spPr bwMode="auto">
        <a:xfrm>
          <a:off x="4184357" y="38968764"/>
          <a:ext cx="9342901" cy="7588599"/>
        </a:xfrm>
        <a:prstGeom prst="rect">
          <a:avLst/>
        </a:prstGeom>
        <a:solidFill>
          <a:srgbClr val="FFFFFF"/>
        </a:solidFill>
        <a:ln w="9525">
          <a:solidFill>
            <a:srgbClr val="808080"/>
          </a:solidFill>
          <a:miter lim="800000"/>
          <a:headEnd/>
          <a:tailEnd/>
        </a:ln>
      </xdr:spPr>
      <xdr:txBody>
        <a:bodyPr vertOverflow="clip" wrap="square" lIns="27305" tIns="22860" rIns="0" bIns="0" anchor="t" upright="1"/>
        <a:lstStyle/>
        <a:p>
          <a:pPr algn="l" rtl="0">
            <a:defRPr sz="1000"/>
          </a:pPr>
          <a:endParaRPr lang="en-GB" sz="1200" b="0" i="0" u="none" strike="noStrike" baseline="0">
            <a:solidFill>
              <a:srgbClr val="000000"/>
            </a:solidFill>
            <a:latin typeface="Times New Roman"/>
            <a:cs typeface="Times New Roman"/>
          </a:endParaRPr>
        </a:p>
      </xdr:txBody>
    </xdr:sp>
    <xdr:clientData/>
  </xdr:twoCellAnchor>
  <xdr:twoCellAnchor editAs="oneCell">
    <xdr:from>
      <xdr:col>6</xdr:col>
      <xdr:colOff>224806</xdr:colOff>
      <xdr:row>187</xdr:row>
      <xdr:rowOff>71120</xdr:rowOff>
    </xdr:from>
    <xdr:to>
      <xdr:col>6</xdr:col>
      <xdr:colOff>430077</xdr:colOff>
      <xdr:row>188</xdr:row>
      <xdr:rowOff>140103</xdr:rowOff>
    </xdr:to>
    <xdr:pic>
      <xdr:nvPicPr>
        <xdr:cNvPr id="4" name="Picture 185" descr="mw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cstate="print"/>
        <a:srcRect r="-7143" b="52174"/>
        <a:stretch>
          <a:fillRect/>
        </a:stretch>
      </xdr:blipFill>
      <xdr:spPr bwMode="auto">
        <a:xfrm>
          <a:off x="5711206" y="35237420"/>
          <a:ext cx="205271" cy="259483"/>
        </a:xfrm>
        <a:prstGeom prst="rect">
          <a:avLst/>
        </a:prstGeom>
        <a:noFill/>
        <a:ln w="9525">
          <a:noFill/>
          <a:miter lim="800000"/>
          <a:headEnd/>
          <a:tailEnd/>
        </a:ln>
      </xdr:spPr>
    </xdr:pic>
    <xdr:clientData/>
  </xdr:twoCellAnchor>
  <xdr:twoCellAnchor editAs="oneCell">
    <xdr:from>
      <xdr:col>10</xdr:col>
      <xdr:colOff>172088</xdr:colOff>
      <xdr:row>187</xdr:row>
      <xdr:rowOff>43118</xdr:rowOff>
    </xdr:from>
    <xdr:to>
      <xdr:col>10</xdr:col>
      <xdr:colOff>391754</xdr:colOff>
      <xdr:row>188</xdr:row>
      <xdr:rowOff>153208</xdr:rowOff>
    </xdr:to>
    <xdr:pic>
      <xdr:nvPicPr>
        <xdr:cNvPr id="5" name="Picture 186" descr="mw2">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2" cstate="print"/>
        <a:srcRect l="-14285" t="50000"/>
        <a:stretch>
          <a:fillRect/>
        </a:stretch>
      </xdr:blipFill>
      <xdr:spPr bwMode="auto">
        <a:xfrm>
          <a:off x="8350888" y="35209418"/>
          <a:ext cx="219666" cy="300590"/>
        </a:xfrm>
        <a:prstGeom prst="rect">
          <a:avLst/>
        </a:prstGeom>
        <a:noFill/>
        <a:ln w="9525">
          <a:noFill/>
          <a:miter lim="800000"/>
          <a:headEnd/>
          <a:tailEnd/>
        </a:ln>
      </xdr:spPr>
    </xdr:pic>
    <xdr:clientData/>
  </xdr:twoCellAnchor>
  <xdr:twoCellAnchor>
    <xdr:from>
      <xdr:col>9</xdr:col>
      <xdr:colOff>275910</xdr:colOff>
      <xdr:row>185</xdr:row>
      <xdr:rowOff>26472</xdr:rowOff>
    </xdr:from>
    <xdr:to>
      <xdr:col>9</xdr:col>
      <xdr:colOff>397830</xdr:colOff>
      <xdr:row>187</xdr:row>
      <xdr:rowOff>1707</xdr:rowOff>
    </xdr:to>
    <xdr:grpSp>
      <xdr:nvGrpSpPr>
        <xdr:cNvPr id="6" name="Group 265">
          <a:extLst>
            <a:ext uri="{FF2B5EF4-FFF2-40B4-BE49-F238E27FC236}">
              <a16:creationId xmlns:a16="http://schemas.microsoft.com/office/drawing/2014/main" xmlns="" id="{00000000-0008-0000-0100-000006000000}"/>
            </a:ext>
          </a:extLst>
        </xdr:cNvPr>
        <xdr:cNvGrpSpPr>
          <a:grpSpLocks/>
        </xdr:cNvGrpSpPr>
      </xdr:nvGrpSpPr>
      <xdr:grpSpPr bwMode="auto">
        <a:xfrm>
          <a:off x="7834059" y="34526764"/>
          <a:ext cx="121920" cy="346339"/>
          <a:chOff x="1728" y="447"/>
          <a:chExt cx="16" cy="44"/>
        </a:xfrm>
      </xdr:grpSpPr>
      <xdr:pic>
        <xdr:nvPicPr>
          <xdr:cNvPr id="7" name="Picture 184" descr="mw2">
            <a:extLst>
              <a:ext uri="{FF2B5EF4-FFF2-40B4-BE49-F238E27FC236}">
                <a16:creationId xmlns:a16="http://schemas.microsoft.com/office/drawing/2014/main" xmlns="" id="{00000000-0008-0000-0100-000007000000}"/>
              </a:ext>
            </a:extLst>
          </xdr:cNvPr>
          <xdr:cNvPicPr>
            <a:picLocks noChangeAspect="1" noChangeArrowheads="1"/>
          </xdr:cNvPicPr>
        </xdr:nvPicPr>
        <xdr:blipFill>
          <a:blip xmlns:r="http://schemas.openxmlformats.org/officeDocument/2006/relationships" r:embed="rId3" cstate="print"/>
          <a:srcRect r="-7143" b="48889"/>
          <a:stretch>
            <a:fillRect/>
          </a:stretch>
        </xdr:blipFill>
        <xdr:spPr bwMode="auto">
          <a:xfrm>
            <a:off x="1730" y="447"/>
            <a:ext cx="14" cy="21"/>
          </a:xfrm>
          <a:prstGeom prst="rect">
            <a:avLst/>
          </a:prstGeom>
          <a:noFill/>
          <a:ln w="9525">
            <a:noFill/>
            <a:miter lim="800000"/>
            <a:headEnd/>
            <a:tailEnd/>
          </a:ln>
        </xdr:spPr>
      </xdr:pic>
      <xdr:pic>
        <xdr:nvPicPr>
          <xdr:cNvPr id="8" name="Picture 186" descr="mw2">
            <a:extLst>
              <a:ext uri="{FF2B5EF4-FFF2-40B4-BE49-F238E27FC236}">
                <a16:creationId xmlns:a16="http://schemas.microsoft.com/office/drawing/2014/main" xmlns="" id="{00000000-0008-0000-0100-000008000000}"/>
              </a:ext>
            </a:extLst>
          </xdr:cNvPr>
          <xdr:cNvPicPr>
            <a:picLocks noChangeAspect="1" noChangeArrowheads="1"/>
          </xdr:cNvPicPr>
        </xdr:nvPicPr>
        <xdr:blipFill>
          <a:blip xmlns:r="http://schemas.openxmlformats.org/officeDocument/2006/relationships" r:embed="rId4" cstate="print"/>
          <a:srcRect l="-14285" t="50000"/>
          <a:stretch>
            <a:fillRect/>
          </a:stretch>
        </xdr:blipFill>
        <xdr:spPr bwMode="auto">
          <a:xfrm>
            <a:off x="1728" y="468"/>
            <a:ext cx="16" cy="23"/>
          </a:xfrm>
          <a:prstGeom prst="rect">
            <a:avLst/>
          </a:prstGeom>
          <a:noFill/>
          <a:ln w="9525">
            <a:noFill/>
            <a:miter lim="800000"/>
            <a:headEnd/>
            <a:tailEnd/>
          </a:ln>
        </xdr:spPr>
      </xdr:pic>
    </xdr:grpSp>
    <xdr:clientData/>
  </xdr:twoCellAnchor>
  <xdr:twoCellAnchor editAs="oneCell">
    <xdr:from>
      <xdr:col>1</xdr:col>
      <xdr:colOff>12700</xdr:colOff>
      <xdr:row>122</xdr:row>
      <xdr:rowOff>38100</xdr:rowOff>
    </xdr:from>
    <xdr:to>
      <xdr:col>11</xdr:col>
      <xdr:colOff>221671</xdr:colOff>
      <xdr:row>127</xdr:row>
      <xdr:rowOff>114300</xdr:rowOff>
    </xdr:to>
    <xdr:pic>
      <xdr:nvPicPr>
        <xdr:cNvPr id="9" name="Picture 8" descr="Colour Chart General new copy.jpg">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5" cstate="print"/>
        <a:stretch>
          <a:fillRect/>
        </a:stretch>
      </xdr:blipFill>
      <xdr:spPr>
        <a:xfrm>
          <a:off x="165100" y="23406100"/>
          <a:ext cx="9018305" cy="1028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35</xdr:row>
      <xdr:rowOff>0</xdr:rowOff>
    </xdr:from>
    <xdr:to>
      <xdr:col>1</xdr:col>
      <xdr:colOff>304800</xdr:colOff>
      <xdr:row>35</xdr:row>
      <xdr:rowOff>99060</xdr:rowOff>
    </xdr:to>
    <xdr:sp macro="" textlink="">
      <xdr:nvSpPr>
        <xdr:cNvPr id="2" name="Rectangle1">
          <a:extLst>
            <a:ext uri="{FF2B5EF4-FFF2-40B4-BE49-F238E27FC236}">
              <a16:creationId xmlns:a16="http://schemas.microsoft.com/office/drawing/2014/main" xmlns="" id="{00000000-0008-0000-0900-000002000000}"/>
            </a:ext>
          </a:extLst>
        </xdr:cNvPr>
        <xdr:cNvSpPr>
          <a:spLocks noChangeArrowheads="1"/>
        </xdr:cNvSpPr>
      </xdr:nvSpPr>
      <xdr:spPr bwMode="auto">
        <a:xfrm>
          <a:off x="2085975" y="6410325"/>
          <a:ext cx="304800" cy="99060"/>
        </a:xfrm>
        <a:prstGeom prst="rect">
          <a:avLst/>
        </a:prstGeom>
        <a:noFill/>
        <a:ln w="9525">
          <a:noFill/>
          <a:miter lim="800000"/>
          <a:headEnd/>
          <a:tailEnd/>
        </a:ln>
      </xdr:spPr>
    </xdr:sp>
    <xdr:clientData/>
  </xdr:twoCellAnchor>
  <xdr:twoCellAnchor>
    <xdr:from>
      <xdr:col>1</xdr:col>
      <xdr:colOff>0</xdr:colOff>
      <xdr:row>41</xdr:row>
      <xdr:rowOff>0</xdr:rowOff>
    </xdr:from>
    <xdr:to>
      <xdr:col>1</xdr:col>
      <xdr:colOff>304800</xdr:colOff>
      <xdr:row>41</xdr:row>
      <xdr:rowOff>99060</xdr:rowOff>
    </xdr:to>
    <xdr:sp macro="" textlink="">
      <xdr:nvSpPr>
        <xdr:cNvPr id="3" name="AutoShape 2">
          <a:extLst>
            <a:ext uri="{FF2B5EF4-FFF2-40B4-BE49-F238E27FC236}">
              <a16:creationId xmlns:a16="http://schemas.microsoft.com/office/drawing/2014/main" xmlns="" id="{00000000-0008-0000-0900-000003000000}"/>
            </a:ext>
          </a:extLst>
        </xdr:cNvPr>
        <xdr:cNvSpPr>
          <a:spLocks noChangeArrowheads="1"/>
        </xdr:cNvSpPr>
      </xdr:nvSpPr>
      <xdr:spPr bwMode="auto">
        <a:xfrm>
          <a:off x="2085975" y="7553325"/>
          <a:ext cx="304800" cy="99060"/>
        </a:xfrm>
        <a:prstGeom prst="rect">
          <a:avLst/>
        </a:prstGeom>
        <a:noFill/>
        <a:ln w="9525">
          <a:noFill/>
          <a:miter lim="800000"/>
          <a:headEnd/>
          <a:tailEnd/>
        </a:ln>
      </xdr:spPr>
    </xdr:sp>
    <xdr:clientData/>
  </xdr:twoCellAnchor>
  <xdr:twoCellAnchor>
    <xdr:from>
      <xdr:col>1</xdr:col>
      <xdr:colOff>0</xdr:colOff>
      <xdr:row>35</xdr:row>
      <xdr:rowOff>0</xdr:rowOff>
    </xdr:from>
    <xdr:to>
      <xdr:col>1</xdr:col>
      <xdr:colOff>304800</xdr:colOff>
      <xdr:row>35</xdr:row>
      <xdr:rowOff>99060</xdr:rowOff>
    </xdr:to>
    <xdr:sp macro="" textlink="">
      <xdr:nvSpPr>
        <xdr:cNvPr id="4" name="AutoShape 1">
          <a:extLst>
            <a:ext uri="{FF2B5EF4-FFF2-40B4-BE49-F238E27FC236}">
              <a16:creationId xmlns:a16="http://schemas.microsoft.com/office/drawing/2014/main" xmlns="" id="{00000000-0008-0000-0900-000004000000}"/>
            </a:ext>
          </a:extLst>
        </xdr:cNvPr>
        <xdr:cNvSpPr>
          <a:spLocks noChangeArrowheads="1"/>
        </xdr:cNvSpPr>
      </xdr:nvSpPr>
      <xdr:spPr bwMode="auto">
        <a:xfrm>
          <a:off x="2085975" y="6410325"/>
          <a:ext cx="304800" cy="99060"/>
        </a:xfrm>
        <a:prstGeom prst="rect">
          <a:avLst/>
        </a:prstGeom>
        <a:noFill/>
        <a:ln w="9525">
          <a:noFill/>
          <a:miter lim="800000"/>
          <a:headEnd/>
          <a:tailEnd/>
        </a:ln>
      </xdr:spPr>
    </xdr:sp>
    <xdr:clientData/>
  </xdr:twoCellAnchor>
  <xdr:twoCellAnchor>
    <xdr:from>
      <xdr:col>1</xdr:col>
      <xdr:colOff>0</xdr:colOff>
      <xdr:row>41</xdr:row>
      <xdr:rowOff>0</xdr:rowOff>
    </xdr:from>
    <xdr:to>
      <xdr:col>1</xdr:col>
      <xdr:colOff>304800</xdr:colOff>
      <xdr:row>41</xdr:row>
      <xdr:rowOff>99060</xdr:rowOff>
    </xdr:to>
    <xdr:sp macro="" textlink="">
      <xdr:nvSpPr>
        <xdr:cNvPr id="5" name="Rectangle2">
          <a:extLst>
            <a:ext uri="{FF2B5EF4-FFF2-40B4-BE49-F238E27FC236}">
              <a16:creationId xmlns:a16="http://schemas.microsoft.com/office/drawing/2014/main" xmlns="" id="{00000000-0008-0000-0900-000005000000}"/>
            </a:ext>
          </a:extLst>
        </xdr:cNvPr>
        <xdr:cNvSpPr>
          <a:spLocks noChangeArrowheads="1"/>
        </xdr:cNvSpPr>
      </xdr:nvSpPr>
      <xdr:spPr bwMode="auto">
        <a:xfrm>
          <a:off x="2085975" y="7553325"/>
          <a:ext cx="304800" cy="99060"/>
        </a:xfrm>
        <a:prstGeom prst="rect">
          <a:avLst/>
        </a:prstGeom>
        <a:noFill/>
        <a:ln w="9525">
          <a:noFill/>
          <a:miter lim="800000"/>
          <a:headEnd/>
          <a:tailEnd/>
        </a:ln>
      </xdr:spPr>
    </xdr:sp>
    <xdr:clientData/>
  </xdr:twoCellAnchor>
  <xdr:twoCellAnchor>
    <xdr:from>
      <xdr:col>1</xdr:col>
      <xdr:colOff>0</xdr:colOff>
      <xdr:row>35</xdr:row>
      <xdr:rowOff>0</xdr:rowOff>
    </xdr:from>
    <xdr:to>
      <xdr:col>1</xdr:col>
      <xdr:colOff>304800</xdr:colOff>
      <xdr:row>35</xdr:row>
      <xdr:rowOff>99060</xdr:rowOff>
    </xdr:to>
    <xdr:sp macro="" textlink="">
      <xdr:nvSpPr>
        <xdr:cNvPr id="6" name="Rectangle1">
          <a:extLst>
            <a:ext uri="{FF2B5EF4-FFF2-40B4-BE49-F238E27FC236}">
              <a16:creationId xmlns:a16="http://schemas.microsoft.com/office/drawing/2014/main" xmlns="" id="{00000000-0008-0000-0900-000006000000}"/>
            </a:ext>
          </a:extLst>
        </xdr:cNvPr>
        <xdr:cNvSpPr>
          <a:spLocks noChangeArrowheads="1"/>
        </xdr:cNvSpPr>
      </xdr:nvSpPr>
      <xdr:spPr bwMode="auto">
        <a:xfrm>
          <a:off x="2085975" y="6410325"/>
          <a:ext cx="304800" cy="99060"/>
        </a:xfrm>
        <a:prstGeom prst="rect">
          <a:avLst/>
        </a:prstGeom>
        <a:noFill/>
        <a:ln w="9525">
          <a:noFill/>
          <a:miter lim="800000"/>
          <a:headEnd/>
          <a:tailEnd/>
        </a:ln>
      </xdr:spPr>
    </xdr:sp>
    <xdr:clientData/>
  </xdr:twoCellAnchor>
  <xdr:twoCellAnchor>
    <xdr:from>
      <xdr:col>1</xdr:col>
      <xdr:colOff>0</xdr:colOff>
      <xdr:row>41</xdr:row>
      <xdr:rowOff>0</xdr:rowOff>
    </xdr:from>
    <xdr:to>
      <xdr:col>1</xdr:col>
      <xdr:colOff>304800</xdr:colOff>
      <xdr:row>41</xdr:row>
      <xdr:rowOff>99060</xdr:rowOff>
    </xdr:to>
    <xdr:sp macro="" textlink="">
      <xdr:nvSpPr>
        <xdr:cNvPr id="7" name="AutoShape 2">
          <a:extLst>
            <a:ext uri="{FF2B5EF4-FFF2-40B4-BE49-F238E27FC236}">
              <a16:creationId xmlns:a16="http://schemas.microsoft.com/office/drawing/2014/main" xmlns="" id="{00000000-0008-0000-0900-000007000000}"/>
            </a:ext>
          </a:extLst>
        </xdr:cNvPr>
        <xdr:cNvSpPr>
          <a:spLocks noChangeArrowheads="1"/>
        </xdr:cNvSpPr>
      </xdr:nvSpPr>
      <xdr:spPr bwMode="auto">
        <a:xfrm>
          <a:off x="2085975" y="7553325"/>
          <a:ext cx="304800" cy="99060"/>
        </a:xfrm>
        <a:prstGeom prst="rect">
          <a:avLst/>
        </a:prstGeom>
        <a:noFill/>
        <a:ln w="9525">
          <a:noFill/>
          <a:miter lim="800000"/>
          <a:headEnd/>
          <a:tailEnd/>
        </a:ln>
      </xdr:spPr>
    </xdr:sp>
    <xdr:clientData/>
  </xdr:twoCellAnchor>
  <xdr:twoCellAnchor>
    <xdr:from>
      <xdr:col>0</xdr:col>
      <xdr:colOff>0</xdr:colOff>
      <xdr:row>37</xdr:row>
      <xdr:rowOff>139700</xdr:rowOff>
    </xdr:from>
    <xdr:to>
      <xdr:col>9</xdr:col>
      <xdr:colOff>0</xdr:colOff>
      <xdr:row>54</xdr:row>
      <xdr:rowOff>127000</xdr:rowOff>
    </xdr:to>
    <xdr:sp macro="" textlink="" fLocksText="0">
      <xdr:nvSpPr>
        <xdr:cNvPr id="8" name="Text Box 6">
          <a:extLst>
            <a:ext uri="{FF2B5EF4-FFF2-40B4-BE49-F238E27FC236}">
              <a16:creationId xmlns:a16="http://schemas.microsoft.com/office/drawing/2014/main" xmlns="" id="{00000000-0008-0000-0900-000008000000}"/>
            </a:ext>
          </a:extLst>
        </xdr:cNvPr>
        <xdr:cNvSpPr txBox="1">
          <a:spLocks noChangeArrowheads="1"/>
        </xdr:cNvSpPr>
      </xdr:nvSpPr>
      <xdr:spPr bwMode="auto">
        <a:xfrm>
          <a:off x="0" y="6985000"/>
          <a:ext cx="6781800" cy="3606800"/>
        </a:xfrm>
        <a:prstGeom prst="rect">
          <a:avLst/>
        </a:prstGeom>
        <a:solidFill>
          <a:srgbClr val="FFFFFF"/>
        </a:solidFill>
        <a:ln w="9525">
          <a:solidFill>
            <a:srgbClr val="000000"/>
          </a:solidFill>
          <a:miter lim="800000"/>
          <a:headEnd/>
          <a:tailEnd/>
        </a:ln>
        <a:effectLst/>
      </xdr:spPr>
      <xdr:txBody>
        <a:bodyPr vertOverflow="clip" wrap="square" lIns="27305" tIns="27305" rIns="0" bIns="0" anchor="t" upright="1"/>
        <a:lstStyle/>
        <a:p>
          <a:pPr algn="l" rtl="0">
            <a:defRPr sz="1000"/>
          </a:pPr>
          <a:r>
            <a:rPr lang="en-GB" sz="1200" b="0" i="0" u="none" strike="noStrike" baseline="0">
              <a:solidFill>
                <a:srgbClr val="000000"/>
              </a:solidFill>
              <a:latin typeface="Times New Roman"/>
              <a:cs typeface="Times New Roman"/>
            </a:rPr>
            <a:t>NOTES:- </a:t>
          </a:r>
        </a:p>
      </xdr:txBody>
    </xdr:sp>
    <xdr:clientData/>
  </xdr:twoCellAnchor>
  <xdr:twoCellAnchor>
    <xdr:from>
      <xdr:col>8</xdr:col>
      <xdr:colOff>558800</xdr:colOff>
      <xdr:row>18</xdr:row>
      <xdr:rowOff>83820</xdr:rowOff>
    </xdr:from>
    <xdr:to>
      <xdr:col>10</xdr:col>
      <xdr:colOff>0</xdr:colOff>
      <xdr:row>19</xdr:row>
      <xdr:rowOff>99060</xdr:rowOff>
    </xdr:to>
    <xdr:sp macro="" textlink="">
      <xdr:nvSpPr>
        <xdr:cNvPr id="9" name="Line1">
          <a:extLst>
            <a:ext uri="{FF2B5EF4-FFF2-40B4-BE49-F238E27FC236}">
              <a16:creationId xmlns:a16="http://schemas.microsoft.com/office/drawing/2014/main" xmlns="" id="{00000000-0008-0000-0900-000009000000}"/>
            </a:ext>
          </a:extLst>
        </xdr:cNvPr>
        <xdr:cNvSpPr>
          <a:spLocks noChangeShapeType="1"/>
        </xdr:cNvSpPr>
      </xdr:nvSpPr>
      <xdr:spPr bwMode="auto">
        <a:xfrm flipH="1">
          <a:off x="6731000" y="3798570"/>
          <a:ext cx="184150" cy="215265"/>
        </a:xfrm>
        <a:prstGeom prst="line">
          <a:avLst/>
        </a:prstGeom>
        <a:noFill/>
        <a:ln w="9525">
          <a:solidFill>
            <a:srgbClr val="FF0000"/>
          </a:solidFill>
          <a:round/>
          <a:headEnd/>
          <a:tailEnd type="triangle" w="med" len="med"/>
        </a:ln>
      </xdr:spPr>
    </xdr:sp>
    <xdr:clientData/>
  </xdr:twoCellAnchor>
  <xdr:twoCellAnchor>
    <xdr:from>
      <xdr:col>9</xdr:col>
      <xdr:colOff>15240</xdr:colOff>
      <xdr:row>16</xdr:row>
      <xdr:rowOff>91440</xdr:rowOff>
    </xdr:from>
    <xdr:to>
      <xdr:col>10</xdr:col>
      <xdr:colOff>0</xdr:colOff>
      <xdr:row>18</xdr:row>
      <xdr:rowOff>83820</xdr:rowOff>
    </xdr:to>
    <xdr:sp macro="" textlink="">
      <xdr:nvSpPr>
        <xdr:cNvPr id="10" name="Line 26">
          <a:extLst>
            <a:ext uri="{FF2B5EF4-FFF2-40B4-BE49-F238E27FC236}">
              <a16:creationId xmlns:a16="http://schemas.microsoft.com/office/drawing/2014/main" xmlns="" id="{00000000-0008-0000-0900-00000A000000}"/>
            </a:ext>
          </a:extLst>
        </xdr:cNvPr>
        <xdr:cNvSpPr>
          <a:spLocks noChangeShapeType="1"/>
        </xdr:cNvSpPr>
      </xdr:nvSpPr>
      <xdr:spPr bwMode="auto">
        <a:xfrm flipH="1" flipV="1">
          <a:off x="6749415" y="3406140"/>
          <a:ext cx="165735" cy="392430"/>
        </a:xfrm>
        <a:prstGeom prst="line">
          <a:avLst/>
        </a:prstGeom>
        <a:noFill/>
        <a:ln w="9525">
          <a:solidFill>
            <a:srgbClr val="FF0000"/>
          </a:solidFill>
          <a:round/>
          <a:headEnd/>
          <a:tailEnd type="triangle" w="med" len="med"/>
        </a:ln>
      </xdr:spPr>
    </xdr:sp>
    <xdr:clientData/>
  </xdr:twoCellAnchor>
  <xdr:twoCellAnchor editAs="oneCell">
    <xdr:from>
      <xdr:col>16</xdr:col>
      <xdr:colOff>1155</xdr:colOff>
      <xdr:row>34</xdr:row>
      <xdr:rowOff>139700</xdr:rowOff>
    </xdr:from>
    <xdr:to>
      <xdr:col>18</xdr:col>
      <xdr:colOff>2189037</xdr:colOff>
      <xdr:row>49</xdr:row>
      <xdr:rowOff>177800</xdr:rowOff>
    </xdr:to>
    <xdr:pic>
      <xdr:nvPicPr>
        <xdr:cNvPr id="11" name="Picture 10" descr="Colonics copy.png">
          <a:extLst>
            <a:ext uri="{FF2B5EF4-FFF2-40B4-BE49-F238E27FC236}">
              <a16:creationId xmlns:a16="http://schemas.microsoft.com/office/drawing/2014/main" xmlns="" id="{00000000-0008-0000-0900-00000B000000}"/>
            </a:ext>
          </a:extLst>
        </xdr:cNvPr>
        <xdr:cNvPicPr>
          <a:picLocks noChangeAspect="1"/>
        </xdr:cNvPicPr>
      </xdr:nvPicPr>
      <xdr:blipFill>
        <a:blip xmlns:r="http://schemas.openxmlformats.org/officeDocument/2006/relationships" r:embed="rId1" cstate="print"/>
        <a:stretch>
          <a:fillRect/>
        </a:stretch>
      </xdr:blipFill>
      <xdr:spPr>
        <a:xfrm>
          <a:off x="11735955" y="6997700"/>
          <a:ext cx="3813482" cy="2895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749296</xdr:colOff>
      <xdr:row>129</xdr:row>
      <xdr:rowOff>25400</xdr:rowOff>
    </xdr:from>
    <xdr:to>
      <xdr:col>12</xdr:col>
      <xdr:colOff>275369</xdr:colOff>
      <xdr:row>144</xdr:row>
      <xdr:rowOff>69850</xdr:rowOff>
    </xdr:to>
    <xdr:pic>
      <xdr:nvPicPr>
        <xdr:cNvPr id="2" name="Picture 23">
          <a:extLst>
            <a:ext uri="{FF2B5EF4-FFF2-40B4-BE49-F238E27FC236}">
              <a16:creationId xmlns:a16="http://schemas.microsoft.com/office/drawing/2014/main" xmlns="" id="{00000000-0008-0000-0A00-000002000000}"/>
            </a:ext>
          </a:extLst>
        </xdr:cNvPr>
        <xdr:cNvPicPr>
          <a:picLocks noRot="1" noChangeAspect="1" noChangeArrowheads="1"/>
        </xdr:cNvPicPr>
      </xdr:nvPicPr>
      <xdr:blipFill>
        <a:blip xmlns:r="http://schemas.openxmlformats.org/officeDocument/2006/relationships" r:embed="rId1" cstate="print"/>
        <a:srcRect r="245"/>
        <a:stretch>
          <a:fillRect/>
        </a:stretch>
      </xdr:blipFill>
      <xdr:spPr bwMode="auto">
        <a:xfrm>
          <a:off x="10020296" y="28067000"/>
          <a:ext cx="4745773" cy="3282950"/>
        </a:xfrm>
        <a:prstGeom prst="rect">
          <a:avLst/>
        </a:prstGeom>
        <a:solidFill>
          <a:schemeClr val="bg1"/>
        </a:solidFill>
        <a:ln w="9525">
          <a:noFill/>
          <a:miter lim="800000"/>
          <a:headEnd/>
          <a:tailEnd/>
        </a:ln>
      </xdr:spPr>
    </xdr:pic>
    <xdr:clientData/>
  </xdr:twoCellAnchor>
  <xdr:twoCellAnchor editAs="oneCell">
    <xdr:from>
      <xdr:col>0</xdr:col>
      <xdr:colOff>38100</xdr:colOff>
      <xdr:row>127</xdr:row>
      <xdr:rowOff>30483</xdr:rowOff>
    </xdr:from>
    <xdr:to>
      <xdr:col>4</xdr:col>
      <xdr:colOff>1600200</xdr:colOff>
      <xdr:row>132</xdr:row>
      <xdr:rowOff>202893</xdr:rowOff>
    </xdr:to>
    <xdr:pic>
      <xdr:nvPicPr>
        <xdr:cNvPr id="3" name="Picture 2" descr="Colour Chart General new copy.jpg">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2" cstate="print"/>
        <a:stretch>
          <a:fillRect/>
        </a:stretch>
      </xdr:blipFill>
      <xdr:spPr>
        <a:xfrm>
          <a:off x="38100" y="27640283"/>
          <a:ext cx="7734300" cy="1251910"/>
        </a:xfrm>
        <a:prstGeom prst="rect">
          <a:avLst/>
        </a:prstGeom>
      </xdr:spPr>
    </xdr:pic>
    <xdr:clientData/>
  </xdr:twoCellAnchor>
  <xdr:twoCellAnchor editAs="oneCell">
    <xdr:from>
      <xdr:col>11</xdr:col>
      <xdr:colOff>232230</xdr:colOff>
      <xdr:row>129</xdr:row>
      <xdr:rowOff>25401</xdr:rowOff>
    </xdr:from>
    <xdr:to>
      <xdr:col>13</xdr:col>
      <xdr:colOff>719753</xdr:colOff>
      <xdr:row>137</xdr:row>
      <xdr:rowOff>152401</xdr:rowOff>
    </xdr:to>
    <xdr:pic>
      <xdr:nvPicPr>
        <xdr:cNvPr id="7" name="Picture 6" descr="Capture2.JPG"/>
        <xdr:cNvPicPr>
          <a:picLocks noChangeAspect="1"/>
        </xdr:cNvPicPr>
      </xdr:nvPicPr>
      <xdr:blipFill>
        <a:blip xmlns:r="http://schemas.openxmlformats.org/officeDocument/2006/relationships" r:embed="rId3"/>
        <a:stretch>
          <a:fillRect/>
        </a:stretch>
      </xdr:blipFill>
      <xdr:spPr>
        <a:xfrm>
          <a:off x="13846630" y="28067001"/>
          <a:ext cx="2227423" cy="1854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11499</xdr:colOff>
      <xdr:row>16</xdr:row>
      <xdr:rowOff>26693</xdr:rowOff>
    </xdr:from>
    <xdr:to>
      <xdr:col>17</xdr:col>
      <xdr:colOff>12880</xdr:colOff>
      <xdr:row>17</xdr:row>
      <xdr:rowOff>186811</xdr:rowOff>
    </xdr:to>
    <xdr:pic>
      <xdr:nvPicPr>
        <xdr:cNvPr id="2" name="Picture 206">
          <a:extLst>
            <a:ext uri="{FF2B5EF4-FFF2-40B4-BE49-F238E27FC236}">
              <a16:creationId xmlns="" xmlns:a16="http://schemas.microsoft.com/office/drawing/2014/main" id="{00000000-0008-0000-0200-000003000000}"/>
            </a:ext>
          </a:extLst>
        </xdr:cNvPr>
        <xdr:cNvPicPr>
          <a:picLocks noRot="1" noChangeAspect="1" noChangeArrowheads="1"/>
        </xdr:cNvPicPr>
      </xdr:nvPicPr>
      <xdr:blipFill>
        <a:blip xmlns:r="http://schemas.openxmlformats.org/officeDocument/2006/relationships" r:embed="rId1" cstate="print"/>
        <a:srcRect l="457" t="625" r="660" b="27451"/>
        <a:stretch>
          <a:fillRect/>
        </a:stretch>
      </xdr:blipFill>
      <xdr:spPr bwMode="auto">
        <a:xfrm>
          <a:off x="5040699" y="3150893"/>
          <a:ext cx="5716381" cy="350618"/>
        </a:xfrm>
        <a:prstGeom prst="rect">
          <a:avLst/>
        </a:prstGeom>
        <a:noFill/>
        <a:ln w="9525">
          <a:noFill/>
          <a:miter lim="800000"/>
          <a:headEnd/>
          <a:tailEnd/>
        </a:ln>
      </xdr:spPr>
    </xdr:pic>
    <xdr:clientData/>
  </xdr:twoCellAnchor>
  <xdr:twoCellAnchor>
    <xdr:from>
      <xdr:col>7</xdr:col>
      <xdr:colOff>121920</xdr:colOff>
      <xdr:row>108</xdr:row>
      <xdr:rowOff>121920</xdr:rowOff>
    </xdr:from>
    <xdr:to>
      <xdr:col>12</xdr:col>
      <xdr:colOff>350520</xdr:colOff>
      <xdr:row>112</xdr:row>
      <xdr:rowOff>165100</xdr:rowOff>
    </xdr:to>
    <xdr:pic>
      <xdr:nvPicPr>
        <xdr:cNvPr id="3" name="Picture 7">
          <a:hlinkClick xmlns:r="http://schemas.openxmlformats.org/officeDocument/2006/relationships" r:id="rId2"/>
          <a:extLst>
            <a:ext uri="{FF2B5EF4-FFF2-40B4-BE49-F238E27FC236}">
              <a16:creationId xmlns="" xmlns:a16="http://schemas.microsoft.com/office/drawing/2014/main" id="{00000000-0008-0000-0200-000002000000}"/>
            </a:ext>
          </a:extLst>
        </xdr:cNvPr>
        <xdr:cNvPicPr>
          <a:picLocks noRot="1" noChangeAspect="1" noChangeArrowheads="1"/>
        </xdr:cNvPicPr>
      </xdr:nvPicPr>
      <xdr:blipFill>
        <a:blip xmlns:r="http://schemas.openxmlformats.org/officeDocument/2006/relationships" r:embed="rId3" cstate="screen"/>
        <a:srcRect/>
        <a:stretch>
          <a:fillRect/>
        </a:stretch>
      </xdr:blipFill>
      <xdr:spPr bwMode="auto">
        <a:xfrm>
          <a:off x="6046470" y="20191095"/>
          <a:ext cx="2705100" cy="805180"/>
        </a:xfrm>
        <a:prstGeom prst="rect">
          <a:avLst/>
        </a:prstGeom>
        <a:noFill/>
        <a:ln w="9525">
          <a:noFill/>
          <a:miter lim="800000"/>
          <a:headEnd/>
          <a:tailEnd/>
        </a:ln>
      </xdr:spPr>
    </xdr:pic>
    <xdr:clientData/>
  </xdr:twoCellAnchor>
  <xdr:twoCellAnchor editAs="oneCell">
    <xdr:from>
      <xdr:col>14</xdr:col>
      <xdr:colOff>205154</xdr:colOff>
      <xdr:row>33</xdr:row>
      <xdr:rowOff>171083</xdr:rowOff>
    </xdr:from>
    <xdr:to>
      <xdr:col>15</xdr:col>
      <xdr:colOff>395456</xdr:colOff>
      <xdr:row>40</xdr:row>
      <xdr:rowOff>148943</xdr:rowOff>
    </xdr:to>
    <xdr:pic>
      <xdr:nvPicPr>
        <xdr:cNvPr id="4" name="Picture 3" descr="grimbergen-belgian-pale-ale-33cl-plusglass-belgian-pale-ale-opti-large.jpg"/>
        <xdr:cNvPicPr>
          <a:picLocks noChangeAspect="1"/>
        </xdr:cNvPicPr>
      </xdr:nvPicPr>
      <xdr:blipFill>
        <a:blip xmlns:r="http://schemas.openxmlformats.org/officeDocument/2006/relationships" r:embed="rId4"/>
        <a:stretch>
          <a:fillRect/>
        </a:stretch>
      </xdr:blipFill>
      <xdr:spPr>
        <a:xfrm>
          <a:off x="9590454" y="6533783"/>
          <a:ext cx="672902" cy="1311360"/>
        </a:xfrm>
        <a:prstGeom prst="rect">
          <a:avLst/>
        </a:prstGeom>
      </xdr:spPr>
    </xdr:pic>
    <xdr:clientData/>
  </xdr:twoCellAnchor>
  <xdr:twoCellAnchor>
    <xdr:from>
      <xdr:col>21</xdr:col>
      <xdr:colOff>20880</xdr:colOff>
      <xdr:row>14</xdr:row>
      <xdr:rowOff>152400</xdr:rowOff>
    </xdr:from>
    <xdr:to>
      <xdr:col>24</xdr:col>
      <xdr:colOff>97203</xdr:colOff>
      <xdr:row>20</xdr:row>
      <xdr:rowOff>161685</xdr:rowOff>
    </xdr:to>
    <xdr:pic>
      <xdr:nvPicPr>
        <xdr:cNvPr id="5" name="Picture 4">
          <a:hlinkClick xmlns:r="http://schemas.openxmlformats.org/officeDocument/2006/relationships" r:id="rId5"/>
          <a:extLst>
            <a:ext uri="{FF2B5EF4-FFF2-40B4-BE49-F238E27FC236}">
              <a16:creationId xmlns="" xmlns:a16="http://schemas.microsoft.com/office/drawing/2014/main" id="{00000000-0008-0000-0200-000005000000}"/>
            </a:ext>
          </a:extLst>
        </xdr:cNvPr>
        <xdr:cNvPicPr>
          <a:picLocks noRot="1" noChangeAspect="1" noChangeArrowheads="1"/>
        </xdr:cNvPicPr>
      </xdr:nvPicPr>
      <xdr:blipFill>
        <a:blip xmlns:r="http://schemas.openxmlformats.org/officeDocument/2006/relationships" r:embed="rId6" cstate="screen"/>
        <a:srcRect/>
        <a:stretch>
          <a:fillRect/>
        </a:stretch>
      </xdr:blipFill>
      <xdr:spPr bwMode="auto">
        <a:xfrm>
          <a:off x="12746280" y="2895600"/>
          <a:ext cx="1549523" cy="1152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21</xdr:col>
      <xdr:colOff>81311</xdr:colOff>
      <xdr:row>0</xdr:row>
      <xdr:rowOff>359514</xdr:rowOff>
    </xdr:from>
    <xdr:to>
      <xdr:col>56</xdr:col>
      <xdr:colOff>1086</xdr:colOff>
      <xdr:row>15</xdr:row>
      <xdr:rowOff>50681</xdr:rowOff>
    </xdr:to>
    <xdr:pic>
      <xdr:nvPicPr>
        <xdr:cNvPr id="2" name="Picture 23">
          <a:extLst>
            <a:ext uri="{FF2B5EF4-FFF2-40B4-BE49-F238E27FC236}">
              <a16:creationId xmlns:a16="http://schemas.microsoft.com/office/drawing/2014/main" xmlns="" id="{00000000-0008-0000-0300-000002000000}"/>
            </a:ext>
          </a:extLst>
        </xdr:cNvPr>
        <xdr:cNvPicPr>
          <a:picLocks noRot="1" noChangeAspect="1" noChangeArrowheads="1"/>
        </xdr:cNvPicPr>
      </xdr:nvPicPr>
      <xdr:blipFill>
        <a:blip xmlns:r="http://schemas.openxmlformats.org/officeDocument/2006/relationships" r:embed="rId1" cstate="screen"/>
        <a:srcRect/>
        <a:stretch>
          <a:fillRect/>
        </a:stretch>
      </xdr:blipFill>
      <xdr:spPr bwMode="auto">
        <a:xfrm>
          <a:off x="16172211" y="359514"/>
          <a:ext cx="4428275" cy="2599467"/>
        </a:xfrm>
        <a:prstGeom prst="rect">
          <a:avLst/>
        </a:prstGeom>
        <a:noFill/>
        <a:ln w="9525">
          <a:noFill/>
          <a:miter lim="800000"/>
          <a:headEnd/>
          <a:tailEnd/>
        </a:ln>
      </xdr:spPr>
    </xdr:pic>
    <xdr:clientData/>
  </xdr:twoCellAnchor>
  <xdr:twoCellAnchor>
    <xdr:from>
      <xdr:col>55</xdr:col>
      <xdr:colOff>243968</xdr:colOff>
      <xdr:row>67</xdr:row>
      <xdr:rowOff>174238</xdr:rowOff>
    </xdr:from>
    <xdr:to>
      <xdr:col>63</xdr:col>
      <xdr:colOff>429787</xdr:colOff>
      <xdr:row>82</xdr:row>
      <xdr:rowOff>164964</xdr:rowOff>
    </xdr:to>
    <xdr:pic>
      <xdr:nvPicPr>
        <xdr:cNvPr id="3" name="Picture 1016">
          <a:extLst>
            <a:ext uri="{FF2B5EF4-FFF2-40B4-BE49-F238E27FC236}">
              <a16:creationId xmlns:a16="http://schemas.microsoft.com/office/drawing/2014/main" xmlns="" id="{00000000-0008-0000-0300-000003000000}"/>
            </a:ext>
          </a:extLst>
        </xdr:cNvPr>
        <xdr:cNvPicPr>
          <a:picLocks noRot="1" noChangeAspect="1" noChangeArrowheads="1"/>
        </xdr:cNvPicPr>
      </xdr:nvPicPr>
      <xdr:blipFill>
        <a:blip xmlns:r="http://schemas.openxmlformats.org/officeDocument/2006/relationships" r:embed="rId2" cstate="screen"/>
        <a:srcRect/>
        <a:stretch>
          <a:fillRect/>
        </a:stretch>
      </xdr:blipFill>
      <xdr:spPr bwMode="auto">
        <a:xfrm>
          <a:off x="20060614" y="12614817"/>
          <a:ext cx="4146825" cy="2778531"/>
        </a:xfrm>
        <a:prstGeom prst="rect">
          <a:avLst/>
        </a:prstGeom>
        <a:noFill/>
        <a:ln w="9525">
          <a:noFill/>
          <a:miter lim="800000"/>
          <a:headEnd/>
          <a:tailEnd/>
        </a:ln>
      </xdr:spPr>
    </xdr:pic>
    <xdr:clientData/>
  </xdr:twoCellAnchor>
  <xdr:twoCellAnchor>
    <xdr:from>
      <xdr:col>0</xdr:col>
      <xdr:colOff>0</xdr:colOff>
      <xdr:row>15</xdr:row>
      <xdr:rowOff>44757</xdr:rowOff>
    </xdr:from>
    <xdr:to>
      <xdr:col>9</xdr:col>
      <xdr:colOff>512163</xdr:colOff>
      <xdr:row>19</xdr:row>
      <xdr:rowOff>24472</xdr:rowOff>
    </xdr:to>
    <xdr:pic>
      <xdr:nvPicPr>
        <xdr:cNvPr id="4" name="Picture 206">
          <a:extLst>
            <a:ext uri="{FF2B5EF4-FFF2-40B4-BE49-F238E27FC236}">
              <a16:creationId xmlns:a16="http://schemas.microsoft.com/office/drawing/2014/main" xmlns="" id="{00000000-0008-0000-0300-000004000000}"/>
            </a:ext>
          </a:extLst>
        </xdr:cNvPr>
        <xdr:cNvPicPr>
          <a:picLocks noRot="1" noChangeAspect="1" noChangeArrowheads="1"/>
        </xdr:cNvPicPr>
      </xdr:nvPicPr>
      <xdr:blipFill>
        <a:blip xmlns:r="http://schemas.openxmlformats.org/officeDocument/2006/relationships" r:embed="rId3" cstate="print"/>
        <a:srcRect l="310"/>
        <a:stretch>
          <a:fillRect/>
        </a:stretch>
      </xdr:blipFill>
      <xdr:spPr bwMode="auto">
        <a:xfrm>
          <a:off x="0" y="2953057"/>
          <a:ext cx="8678263" cy="602015"/>
        </a:xfrm>
        <a:prstGeom prst="rect">
          <a:avLst/>
        </a:prstGeom>
        <a:noFill/>
        <a:ln w="9525">
          <a:noFill/>
          <a:miter lim="800000"/>
          <a:headEnd/>
          <a:tailEnd/>
        </a:ln>
      </xdr:spPr>
    </xdr:pic>
    <xdr:clientData/>
  </xdr:twoCellAnchor>
  <xdr:twoCellAnchor editAs="oneCell">
    <xdr:from>
      <xdr:col>7</xdr:col>
      <xdr:colOff>670559</xdr:colOff>
      <xdr:row>21</xdr:row>
      <xdr:rowOff>13577</xdr:rowOff>
    </xdr:from>
    <xdr:to>
      <xdr:col>7</xdr:col>
      <xdr:colOff>1567180</xdr:colOff>
      <xdr:row>24</xdr:row>
      <xdr:rowOff>73</xdr:rowOff>
    </xdr:to>
    <xdr:pic>
      <xdr:nvPicPr>
        <xdr:cNvPr id="5" name="Picture 4" descr="hops2a.png">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4" cstate="print"/>
        <a:stretch>
          <a:fillRect/>
        </a:stretch>
      </xdr:blipFill>
      <xdr:spPr>
        <a:xfrm>
          <a:off x="6433184" y="3975977"/>
          <a:ext cx="896621" cy="557996"/>
        </a:xfrm>
        <a:prstGeom prst="rect">
          <a:avLst/>
        </a:prstGeom>
      </xdr:spPr>
    </xdr:pic>
    <xdr:clientData/>
  </xdr:twoCellAnchor>
  <xdr:twoCellAnchor editAs="oneCell">
    <xdr:from>
      <xdr:col>16</xdr:col>
      <xdr:colOff>247672</xdr:colOff>
      <xdr:row>82</xdr:row>
      <xdr:rowOff>163645</xdr:rowOff>
    </xdr:from>
    <xdr:to>
      <xdr:col>17</xdr:col>
      <xdr:colOff>649853</xdr:colOff>
      <xdr:row>88</xdr:row>
      <xdr:rowOff>83925</xdr:rowOff>
    </xdr:to>
    <xdr:pic>
      <xdr:nvPicPr>
        <xdr:cNvPr id="6" name="Picture 5" descr="24HourClock copy2.png">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5" cstate="screen"/>
        <a:stretch>
          <a:fillRect/>
        </a:stretch>
      </xdr:blipFill>
      <xdr:spPr>
        <a:xfrm rot="20387006">
          <a:off x="12719072" y="15771945"/>
          <a:ext cx="1062581" cy="1063280"/>
        </a:xfrm>
        <a:prstGeom prst="rect">
          <a:avLst/>
        </a:prstGeom>
      </xdr:spPr>
    </xdr:pic>
    <xdr:clientData/>
  </xdr:twoCellAnchor>
  <xdr:twoCellAnchor>
    <xdr:from>
      <xdr:col>6</xdr:col>
      <xdr:colOff>361463</xdr:colOff>
      <xdr:row>160</xdr:row>
      <xdr:rowOff>173460</xdr:rowOff>
    </xdr:from>
    <xdr:to>
      <xdr:col>6</xdr:col>
      <xdr:colOff>483577</xdr:colOff>
      <xdr:row>173</xdr:row>
      <xdr:rowOff>170573</xdr:rowOff>
    </xdr:to>
    <xdr:sp macro="" textlink="" fLocksText="0">
      <xdr:nvSpPr>
        <xdr:cNvPr id="7" name="Right Brace 6">
          <a:extLst>
            <a:ext uri="{FF2B5EF4-FFF2-40B4-BE49-F238E27FC236}">
              <a16:creationId xmlns:a16="http://schemas.microsoft.com/office/drawing/2014/main" xmlns="" id="{00000000-0008-0000-0300-000007000000}"/>
            </a:ext>
          </a:extLst>
        </xdr:cNvPr>
        <xdr:cNvSpPr>
          <a:spLocks/>
        </xdr:cNvSpPr>
      </xdr:nvSpPr>
      <xdr:spPr bwMode="auto">
        <a:xfrm>
          <a:off x="5495438" y="29224710"/>
          <a:ext cx="122114" cy="2349788"/>
        </a:xfrm>
        <a:prstGeom prst="rightBrace">
          <a:avLst>
            <a:gd name="adj1" fmla="val 25980"/>
            <a:gd name="adj2" fmla="val 49228"/>
          </a:avLst>
        </a:prstGeom>
        <a:no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fLocksWithSheet="0"/>
  </xdr:twoCellAnchor>
  <xdr:twoCellAnchor>
    <xdr:from>
      <xdr:col>13</xdr:col>
      <xdr:colOff>30409</xdr:colOff>
      <xdr:row>3</xdr:row>
      <xdr:rowOff>7222</xdr:rowOff>
    </xdr:from>
    <xdr:to>
      <xdr:col>13</xdr:col>
      <xdr:colOff>106009</xdr:colOff>
      <xdr:row>4</xdr:row>
      <xdr:rowOff>207885</xdr:rowOff>
    </xdr:to>
    <xdr:sp macro="" textlink="" fLocksText="0">
      <xdr:nvSpPr>
        <xdr:cNvPr id="8" name="Right Brace 7">
          <a:extLst>
            <a:ext uri="{FF2B5EF4-FFF2-40B4-BE49-F238E27FC236}">
              <a16:creationId xmlns:a16="http://schemas.microsoft.com/office/drawing/2014/main" xmlns="" id="{00000000-0008-0000-0300-000008000000}"/>
            </a:ext>
          </a:extLst>
        </xdr:cNvPr>
        <xdr:cNvSpPr>
          <a:spLocks/>
        </xdr:cNvSpPr>
      </xdr:nvSpPr>
      <xdr:spPr bwMode="auto">
        <a:xfrm>
          <a:off x="10612684" y="807322"/>
          <a:ext cx="75600" cy="391163"/>
        </a:xfrm>
        <a:prstGeom prst="rightBrace">
          <a:avLst>
            <a:gd name="adj1" fmla="val 25980"/>
            <a:gd name="adj2" fmla="val 49228"/>
          </a:avLst>
        </a:prstGeom>
        <a:no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latin typeface="Times New Roman" pitchFamily="18" charset="0"/>
            <a:cs typeface="Times New Roman" pitchFamily="18" charset="0"/>
          </a:endParaRPr>
        </a:p>
      </xdr:txBody>
    </xdr:sp>
    <xdr:clientData fLocksWithSheet="0"/>
  </xdr:twoCellAnchor>
  <xdr:twoCellAnchor>
    <xdr:from>
      <xdr:col>62</xdr:col>
      <xdr:colOff>0</xdr:colOff>
      <xdr:row>1</xdr:row>
      <xdr:rowOff>144097</xdr:rowOff>
    </xdr:from>
    <xdr:to>
      <xdr:col>62</xdr:col>
      <xdr:colOff>42337</xdr:colOff>
      <xdr:row>2</xdr:row>
      <xdr:rowOff>142116</xdr:rowOff>
    </xdr:to>
    <xdr:sp macro="" textlink="" fLocksText="0">
      <xdr:nvSpPr>
        <xdr:cNvPr id="9" name="Text Box 1404">
          <a:extLst>
            <a:ext uri="{FF2B5EF4-FFF2-40B4-BE49-F238E27FC236}">
              <a16:creationId xmlns:a16="http://schemas.microsoft.com/office/drawing/2014/main" xmlns="" id="{00000000-0008-0000-0400-0000F4000000}"/>
            </a:ext>
          </a:extLst>
        </xdr:cNvPr>
        <xdr:cNvSpPr txBox="1">
          <a:spLocks noChangeArrowheads="1"/>
        </xdr:cNvSpPr>
      </xdr:nvSpPr>
      <xdr:spPr bwMode="auto">
        <a:xfrm>
          <a:off x="27374850" y="334597"/>
          <a:ext cx="42337" cy="169469"/>
        </a:xfrm>
        <a:prstGeom prst="rect">
          <a:avLst/>
        </a:prstGeom>
        <a:noFill/>
        <a:ln w="9525">
          <a:noFill/>
          <a:miter lim="800000"/>
          <a:headEnd/>
          <a:tailEnd/>
        </a:ln>
      </xdr:spPr>
      <xdr:txBody>
        <a:bodyPr vertOverflow="clip" wrap="square" lIns="0" tIns="0" rIns="0" bIns="0" anchor="t" upright="1"/>
        <a:lstStyle/>
        <a:p>
          <a:pPr algn="l" rtl="0">
            <a:defRPr sz="1000"/>
          </a:pPr>
          <a:endParaRPr lang="en-GB" sz="800" b="1" i="0" u="none" strike="noStrike" baseline="0">
            <a:solidFill>
              <a:srgbClr val="000000"/>
            </a:solidFill>
            <a:latin typeface="Times New Roman"/>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304800</xdr:colOff>
      <xdr:row>3</xdr:row>
      <xdr:rowOff>76200</xdr:rowOff>
    </xdr:from>
    <xdr:to>
      <xdr:col>27</xdr:col>
      <xdr:colOff>0</xdr:colOff>
      <xdr:row>26</xdr:row>
      <xdr:rowOff>127000</xdr:rowOff>
    </xdr:to>
    <xdr:graphicFrame macro="">
      <xdr:nvGraphicFramePr>
        <xdr:cNvPr id="2" name="Chart 17">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52</xdr:col>
      <xdr:colOff>190500</xdr:colOff>
      <xdr:row>3</xdr:row>
      <xdr:rowOff>127000</xdr:rowOff>
    </xdr:from>
    <xdr:to>
      <xdr:col>60</xdr:col>
      <xdr:colOff>620016</xdr:colOff>
      <xdr:row>26</xdr:row>
      <xdr:rowOff>139700</xdr:rowOff>
    </xdr:to>
    <xdr:pic>
      <xdr:nvPicPr>
        <xdr:cNvPr id="3" name="Picture 23">
          <a:extLst>
            <a:ext uri="{FF2B5EF4-FFF2-40B4-BE49-F238E27FC236}">
              <a16:creationId xmlns:a16="http://schemas.microsoft.com/office/drawing/2014/main" xmlns="" id="{00000000-0008-0000-0400-000003000000}"/>
            </a:ext>
          </a:extLst>
        </xdr:cNvPr>
        <xdr:cNvPicPr>
          <a:picLocks noRot="1" noChangeAspect="1" noChangeArrowheads="1"/>
        </xdr:cNvPicPr>
      </xdr:nvPicPr>
      <xdr:blipFill>
        <a:blip xmlns:r="http://schemas.openxmlformats.org/officeDocument/2006/relationships" r:embed="rId2" cstate="screen"/>
        <a:srcRect/>
        <a:stretch>
          <a:fillRect/>
        </a:stretch>
      </xdr:blipFill>
      <xdr:spPr bwMode="auto">
        <a:xfrm>
          <a:off x="39166800" y="749300"/>
          <a:ext cx="5776216" cy="4051300"/>
        </a:xfrm>
        <a:prstGeom prst="rect">
          <a:avLst/>
        </a:prstGeom>
        <a:noFill/>
        <a:ln w="9525">
          <a:noFill/>
          <a:miter lim="800000"/>
          <a:headEnd/>
          <a:tailEnd/>
        </a:ln>
      </xdr:spPr>
    </xdr:pic>
    <xdr:clientData/>
  </xdr:twoCellAnchor>
  <xdr:twoCellAnchor>
    <xdr:from>
      <xdr:col>68</xdr:col>
      <xdr:colOff>3694</xdr:colOff>
      <xdr:row>97</xdr:row>
      <xdr:rowOff>17145</xdr:rowOff>
    </xdr:from>
    <xdr:to>
      <xdr:col>68</xdr:col>
      <xdr:colOff>3694</xdr:colOff>
      <xdr:row>97</xdr:row>
      <xdr:rowOff>127635</xdr:rowOff>
    </xdr:to>
    <xdr:sp macro="" textlink="" fLocksText="0">
      <xdr:nvSpPr>
        <xdr:cNvPr id="4" name="Text Box 1395">
          <a:extLst>
            <a:ext uri="{FF2B5EF4-FFF2-40B4-BE49-F238E27FC236}">
              <a16:creationId xmlns:a16="http://schemas.microsoft.com/office/drawing/2014/main" xmlns="" id="{00000000-0008-0000-0400-000004000000}"/>
            </a:ext>
          </a:extLst>
        </xdr:cNvPr>
        <xdr:cNvSpPr txBox="1">
          <a:spLocks noChangeArrowheads="1"/>
        </xdr:cNvSpPr>
      </xdr:nvSpPr>
      <xdr:spPr bwMode="auto">
        <a:xfrm>
          <a:off x="23025619" y="58654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0</xdr:col>
      <xdr:colOff>245806</xdr:colOff>
      <xdr:row>17</xdr:row>
      <xdr:rowOff>12701</xdr:rowOff>
    </xdr:from>
    <xdr:to>
      <xdr:col>8</xdr:col>
      <xdr:colOff>497758</xdr:colOff>
      <xdr:row>20</xdr:row>
      <xdr:rowOff>101601</xdr:rowOff>
    </xdr:to>
    <xdr:pic>
      <xdr:nvPicPr>
        <xdr:cNvPr id="5" name="Picture 206">
          <a:extLst>
            <a:ext uri="{FF2B5EF4-FFF2-40B4-BE49-F238E27FC236}">
              <a16:creationId xmlns:a16="http://schemas.microsoft.com/office/drawing/2014/main" xmlns="" id="{00000000-0008-0000-0400-000005000000}"/>
            </a:ext>
          </a:extLst>
        </xdr:cNvPr>
        <xdr:cNvPicPr>
          <a:picLocks noRot="1" noChangeAspect="1" noChangeArrowheads="1"/>
        </xdr:cNvPicPr>
      </xdr:nvPicPr>
      <xdr:blipFill>
        <a:blip xmlns:r="http://schemas.openxmlformats.org/officeDocument/2006/relationships" r:embed="rId3" cstate="print"/>
        <a:srcRect/>
        <a:stretch>
          <a:fillRect/>
        </a:stretch>
      </xdr:blipFill>
      <xdr:spPr bwMode="auto">
        <a:xfrm>
          <a:off x="245806" y="2993104"/>
          <a:ext cx="7902678" cy="611239"/>
        </a:xfrm>
        <a:prstGeom prst="rect">
          <a:avLst/>
        </a:prstGeom>
        <a:noFill/>
        <a:ln w="9525">
          <a:noFill/>
          <a:miter lim="800000"/>
          <a:headEnd/>
          <a:tailEnd/>
        </a:ln>
      </xdr:spPr>
    </xdr:pic>
    <xdr:clientData/>
  </xdr:twoCellAnchor>
  <xdr:twoCellAnchor>
    <xdr:from>
      <xdr:col>62</xdr:col>
      <xdr:colOff>0</xdr:colOff>
      <xdr:row>2</xdr:row>
      <xdr:rowOff>144097</xdr:rowOff>
    </xdr:from>
    <xdr:to>
      <xdr:col>62</xdr:col>
      <xdr:colOff>42337</xdr:colOff>
      <xdr:row>3</xdr:row>
      <xdr:rowOff>142116</xdr:rowOff>
    </xdr:to>
    <xdr:sp macro="" textlink="" fLocksText="0">
      <xdr:nvSpPr>
        <xdr:cNvPr id="6" name="Text Box 1404">
          <a:extLst>
            <a:ext uri="{FF2B5EF4-FFF2-40B4-BE49-F238E27FC236}">
              <a16:creationId xmlns:a16="http://schemas.microsoft.com/office/drawing/2014/main" xmlns="" id="{00000000-0008-0000-0400-000006000000}"/>
            </a:ext>
          </a:extLst>
        </xdr:cNvPr>
        <xdr:cNvSpPr txBox="1">
          <a:spLocks noChangeArrowheads="1"/>
        </xdr:cNvSpPr>
      </xdr:nvSpPr>
      <xdr:spPr bwMode="auto">
        <a:xfrm>
          <a:off x="23917275" y="601297"/>
          <a:ext cx="42337" cy="226619"/>
        </a:xfrm>
        <a:prstGeom prst="rect">
          <a:avLst/>
        </a:prstGeom>
        <a:noFill/>
        <a:ln w="9525">
          <a:noFill/>
          <a:miter lim="800000"/>
          <a:headEnd/>
          <a:tailEnd/>
        </a:ln>
      </xdr:spPr>
      <xdr:txBody>
        <a:bodyPr vertOverflow="clip" wrap="square" lIns="0" tIns="0" rIns="0" bIns="0" anchor="t" upright="1"/>
        <a:lstStyle/>
        <a:p>
          <a:pPr algn="l" rtl="0">
            <a:defRPr sz="1000"/>
          </a:pPr>
          <a:endParaRPr lang="en-GB" sz="800" b="1" i="0" u="none" strike="noStrike" baseline="0">
            <a:solidFill>
              <a:srgbClr val="000000"/>
            </a:solidFill>
            <a:latin typeface="Times New Roman"/>
            <a:cs typeface="Times New Roman"/>
          </a:endParaRPr>
        </a:p>
      </xdr:txBody>
    </xdr:sp>
    <xdr:clientData/>
  </xdr:twoCellAnchor>
  <xdr:twoCellAnchor>
    <xdr:from>
      <xdr:col>62</xdr:col>
      <xdr:colOff>0</xdr:colOff>
      <xdr:row>4</xdr:row>
      <xdr:rowOff>144097</xdr:rowOff>
    </xdr:from>
    <xdr:to>
      <xdr:col>62</xdr:col>
      <xdr:colOff>42337</xdr:colOff>
      <xdr:row>5</xdr:row>
      <xdr:rowOff>142116</xdr:rowOff>
    </xdr:to>
    <xdr:sp macro="" textlink="" fLocksText="0">
      <xdr:nvSpPr>
        <xdr:cNvPr id="8" name="Text Box 1404">
          <a:extLst>
            <a:ext uri="{FF2B5EF4-FFF2-40B4-BE49-F238E27FC236}">
              <a16:creationId xmlns:a16="http://schemas.microsoft.com/office/drawing/2014/main" xmlns="" id="{00000000-0008-0000-0400-000008000000}"/>
            </a:ext>
          </a:extLst>
        </xdr:cNvPr>
        <xdr:cNvSpPr txBox="1">
          <a:spLocks noChangeArrowheads="1"/>
        </xdr:cNvSpPr>
      </xdr:nvSpPr>
      <xdr:spPr bwMode="auto">
        <a:xfrm>
          <a:off x="23917275" y="1058497"/>
          <a:ext cx="42337" cy="226619"/>
        </a:xfrm>
        <a:prstGeom prst="rect">
          <a:avLst/>
        </a:prstGeom>
        <a:noFill/>
        <a:ln w="9525">
          <a:noFill/>
          <a:miter lim="800000"/>
          <a:headEnd/>
          <a:tailEnd/>
        </a:ln>
      </xdr:spPr>
      <xdr:txBody>
        <a:bodyPr vertOverflow="clip" wrap="square" lIns="0" tIns="0" rIns="0" bIns="0" anchor="t" upright="1"/>
        <a:lstStyle/>
        <a:p>
          <a:pPr algn="l" rtl="0">
            <a:defRPr sz="1000"/>
          </a:pPr>
          <a:endParaRPr lang="en-GB" sz="800" b="1" i="0" u="none" strike="noStrike" baseline="0">
            <a:solidFill>
              <a:srgbClr val="000000"/>
            </a:solidFill>
            <a:latin typeface="Times New Roman"/>
            <a:cs typeface="Times New Roman"/>
          </a:endParaRPr>
        </a:p>
      </xdr:txBody>
    </xdr:sp>
    <xdr:clientData/>
  </xdr:twoCellAnchor>
  <xdr:twoCellAnchor editAs="oneCell">
    <xdr:from>
      <xdr:col>12</xdr:col>
      <xdr:colOff>627801</xdr:colOff>
      <xdr:row>21</xdr:row>
      <xdr:rowOff>71867</xdr:rowOff>
    </xdr:from>
    <xdr:to>
      <xdr:col>14</xdr:col>
      <xdr:colOff>475008</xdr:colOff>
      <xdr:row>28</xdr:row>
      <xdr:rowOff>2099</xdr:rowOff>
    </xdr:to>
    <xdr:pic>
      <xdr:nvPicPr>
        <xdr:cNvPr id="11" name="Picture 10" descr="icon_red_arrow_flat_300x213.png">
          <a:extLst>
            <a:ext uri="{FF2B5EF4-FFF2-40B4-BE49-F238E27FC236}">
              <a16:creationId xmlns:a16="http://schemas.microsoft.com/office/drawing/2014/main" xmlns="" id="{00000000-0008-0000-0400-00000B000000}"/>
            </a:ext>
          </a:extLst>
        </xdr:cNvPr>
        <xdr:cNvPicPr>
          <a:picLocks noChangeAspect="1"/>
        </xdr:cNvPicPr>
      </xdr:nvPicPr>
      <xdr:blipFill>
        <a:blip xmlns:r="http://schemas.openxmlformats.org/officeDocument/2006/relationships" r:embed="rId4" cstate="print"/>
        <a:stretch>
          <a:fillRect/>
        </a:stretch>
      </xdr:blipFill>
      <xdr:spPr>
        <a:xfrm rot="16948946" flipV="1">
          <a:off x="11551654" y="3737526"/>
          <a:ext cx="1115049" cy="1287573"/>
        </a:xfrm>
        <a:prstGeom prst="rect">
          <a:avLst/>
        </a:prstGeom>
      </xdr:spPr>
    </xdr:pic>
    <xdr:clientData/>
  </xdr:twoCellAnchor>
  <xdr:twoCellAnchor editAs="oneCell">
    <xdr:from>
      <xdr:col>1</xdr:col>
      <xdr:colOff>25400</xdr:colOff>
      <xdr:row>82</xdr:row>
      <xdr:rowOff>50800</xdr:rowOff>
    </xdr:from>
    <xdr:to>
      <xdr:col>1</xdr:col>
      <xdr:colOff>2451100</xdr:colOff>
      <xdr:row>90</xdr:row>
      <xdr:rowOff>160243</xdr:rowOff>
    </xdr:to>
    <xdr:pic>
      <xdr:nvPicPr>
        <xdr:cNvPr id="13" name="Picture 12" descr="monster3.png">
          <a:hlinkClick xmlns:r="http://schemas.openxmlformats.org/officeDocument/2006/relationships" r:id="rId5"/>
          <a:extLst>
            <a:ext uri="{FF2B5EF4-FFF2-40B4-BE49-F238E27FC236}">
              <a16:creationId xmlns:a16="http://schemas.microsoft.com/office/drawing/2014/main" xmlns="" id="{00000000-0008-0000-0400-00000D000000}"/>
            </a:ext>
          </a:extLst>
        </xdr:cNvPr>
        <xdr:cNvPicPr>
          <a:picLocks noChangeAspect="1"/>
        </xdr:cNvPicPr>
      </xdr:nvPicPr>
      <xdr:blipFill>
        <a:blip xmlns:r="http://schemas.openxmlformats.org/officeDocument/2006/relationships" r:embed="rId6" cstate="print"/>
        <a:stretch>
          <a:fillRect/>
        </a:stretch>
      </xdr:blipFill>
      <xdr:spPr>
        <a:xfrm>
          <a:off x="317500" y="15481300"/>
          <a:ext cx="2425700" cy="1836643"/>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11</xdr:col>
      <xdr:colOff>39600</xdr:colOff>
      <xdr:row>5</xdr:row>
      <xdr:rowOff>2080</xdr:rowOff>
    </xdr:from>
    <xdr:to>
      <xdr:col>11</xdr:col>
      <xdr:colOff>111600</xdr:colOff>
      <xdr:row>7</xdr:row>
      <xdr:rowOff>11380</xdr:rowOff>
    </xdr:to>
    <xdr:sp macro="" textlink="" fLocksText="0">
      <xdr:nvSpPr>
        <xdr:cNvPr id="14" name="Right Brace 13">
          <a:extLst>
            <a:ext uri="{FF2B5EF4-FFF2-40B4-BE49-F238E27FC236}">
              <a16:creationId xmlns:a16="http://schemas.microsoft.com/office/drawing/2014/main" xmlns="" id="{00000000-0008-0000-0400-00000E000000}"/>
            </a:ext>
          </a:extLst>
        </xdr:cNvPr>
        <xdr:cNvSpPr>
          <a:spLocks/>
        </xdr:cNvSpPr>
      </xdr:nvSpPr>
      <xdr:spPr bwMode="auto">
        <a:xfrm>
          <a:off x="10123400" y="979980"/>
          <a:ext cx="72000" cy="364900"/>
        </a:xfrm>
        <a:prstGeom prst="rightBrace">
          <a:avLst>
            <a:gd name="adj1" fmla="val 25980"/>
            <a:gd name="adj2" fmla="val 49228"/>
          </a:avLst>
        </a:prstGeom>
        <a:no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latin typeface="Times New Roman" pitchFamily="18" charset="0"/>
            <a:cs typeface="Times New Roman" pitchFamily="18" charset="0"/>
          </a:endParaRPr>
        </a:p>
      </xdr:txBody>
    </xdr:sp>
    <xdr:clientData fLocksWithSheet="0"/>
  </xdr:twoCellAnchor>
  <xdr:twoCellAnchor>
    <xdr:from>
      <xdr:col>14</xdr:col>
      <xdr:colOff>581242</xdr:colOff>
      <xdr:row>20</xdr:row>
      <xdr:rowOff>94248</xdr:rowOff>
    </xdr:from>
    <xdr:to>
      <xdr:col>16</xdr:col>
      <xdr:colOff>606642</xdr:colOff>
      <xdr:row>26</xdr:row>
      <xdr:rowOff>87775</xdr:rowOff>
    </xdr:to>
    <xdr:pic>
      <xdr:nvPicPr>
        <xdr:cNvPr id="15" name="Picture 4" descr="Image result for do not enter">
          <a:hlinkClick xmlns:r="http://schemas.openxmlformats.org/officeDocument/2006/relationships" r:id="rId7"/>
          <a:extLst>
            <a:ext uri="{FF2B5EF4-FFF2-40B4-BE49-F238E27FC236}">
              <a16:creationId xmlns:a16="http://schemas.microsoft.com/office/drawing/2014/main" xmlns="" id="{00000000-0008-0000-0400-00000F000000}"/>
            </a:ext>
          </a:extLst>
        </xdr:cNvPr>
        <xdr:cNvPicPr>
          <a:picLocks noChangeAspect="1" noChangeArrowheads="1"/>
        </xdr:cNvPicPr>
      </xdr:nvPicPr>
      <xdr:blipFill>
        <a:blip xmlns:r="http://schemas.openxmlformats.org/officeDocument/2006/relationships" r:embed="rId8" r:link="rId9" cstate="print"/>
        <a:srcRect l="1642" r="4976" b="5302"/>
        <a:stretch>
          <a:fillRect/>
        </a:stretch>
      </xdr:blipFill>
      <xdr:spPr bwMode="auto">
        <a:xfrm>
          <a:off x="12833263" y="3591097"/>
          <a:ext cx="1460674" cy="959075"/>
        </a:xfrm>
        <a:prstGeom prst="rect">
          <a:avLst/>
        </a:prstGeom>
        <a:noFill/>
        <a:ln w="9525">
          <a:noFill/>
          <a:miter lim="800000"/>
          <a:headEnd/>
          <a:tailEnd/>
        </a:ln>
      </xdr:spPr>
    </xdr:pic>
    <xdr:clientData/>
  </xdr:twoCellAnchor>
  <xdr:twoCellAnchor>
    <xdr:from>
      <xdr:col>69</xdr:col>
      <xdr:colOff>3694</xdr:colOff>
      <xdr:row>98</xdr:row>
      <xdr:rowOff>17145</xdr:rowOff>
    </xdr:from>
    <xdr:to>
      <xdr:col>69</xdr:col>
      <xdr:colOff>3694</xdr:colOff>
      <xdr:row>98</xdr:row>
      <xdr:rowOff>127635</xdr:rowOff>
    </xdr:to>
    <xdr:sp macro="" textlink="" fLocksText="0">
      <xdr:nvSpPr>
        <xdr:cNvPr id="16" name="Text Box 1395">
          <a:extLst>
            <a:ext uri="{FF2B5EF4-FFF2-40B4-BE49-F238E27FC236}">
              <a16:creationId xmlns:a16="http://schemas.microsoft.com/office/drawing/2014/main" xmlns="" id="{00000000-0008-0000-0400-000010000000}"/>
            </a:ext>
          </a:extLst>
        </xdr:cNvPr>
        <xdr:cNvSpPr txBox="1">
          <a:spLocks noChangeArrowheads="1"/>
        </xdr:cNvSpPr>
      </xdr:nvSpPr>
      <xdr:spPr bwMode="auto">
        <a:xfrm>
          <a:off x="23703398" y="4416191"/>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69</xdr:col>
      <xdr:colOff>3694</xdr:colOff>
      <xdr:row>99</xdr:row>
      <xdr:rowOff>17145</xdr:rowOff>
    </xdr:from>
    <xdr:to>
      <xdr:col>69</xdr:col>
      <xdr:colOff>3694</xdr:colOff>
      <xdr:row>99</xdr:row>
      <xdr:rowOff>127635</xdr:rowOff>
    </xdr:to>
    <xdr:sp macro="" textlink="" fLocksText="0">
      <xdr:nvSpPr>
        <xdr:cNvPr id="17" name="Text Box 1395">
          <a:extLst>
            <a:ext uri="{FF2B5EF4-FFF2-40B4-BE49-F238E27FC236}">
              <a16:creationId xmlns:a16="http://schemas.microsoft.com/office/drawing/2014/main" xmlns="" id="{00000000-0008-0000-0400-000011000000}"/>
            </a:ext>
          </a:extLst>
        </xdr:cNvPr>
        <xdr:cNvSpPr txBox="1">
          <a:spLocks noChangeArrowheads="1"/>
        </xdr:cNvSpPr>
      </xdr:nvSpPr>
      <xdr:spPr bwMode="auto">
        <a:xfrm>
          <a:off x="23703398" y="4416191"/>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69</xdr:col>
      <xdr:colOff>3694</xdr:colOff>
      <xdr:row>100</xdr:row>
      <xdr:rowOff>17145</xdr:rowOff>
    </xdr:from>
    <xdr:to>
      <xdr:col>69</xdr:col>
      <xdr:colOff>3694</xdr:colOff>
      <xdr:row>100</xdr:row>
      <xdr:rowOff>127635</xdr:rowOff>
    </xdr:to>
    <xdr:sp macro="" textlink="" fLocksText="0">
      <xdr:nvSpPr>
        <xdr:cNvPr id="18" name="Text Box 1395">
          <a:extLst>
            <a:ext uri="{FF2B5EF4-FFF2-40B4-BE49-F238E27FC236}">
              <a16:creationId xmlns:a16="http://schemas.microsoft.com/office/drawing/2014/main" xmlns="" id="{00000000-0008-0000-0400-000012000000}"/>
            </a:ext>
          </a:extLst>
        </xdr:cNvPr>
        <xdr:cNvSpPr txBox="1">
          <a:spLocks noChangeArrowheads="1"/>
        </xdr:cNvSpPr>
      </xdr:nvSpPr>
      <xdr:spPr bwMode="auto">
        <a:xfrm>
          <a:off x="23703398" y="4416191"/>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63</xdr:col>
      <xdr:colOff>0</xdr:colOff>
      <xdr:row>1</xdr:row>
      <xdr:rowOff>144097</xdr:rowOff>
    </xdr:from>
    <xdr:to>
      <xdr:col>63</xdr:col>
      <xdr:colOff>42337</xdr:colOff>
      <xdr:row>2</xdr:row>
      <xdr:rowOff>142116</xdr:rowOff>
    </xdr:to>
    <xdr:sp macro="" textlink="" fLocksText="0">
      <xdr:nvSpPr>
        <xdr:cNvPr id="21" name="Text Box 1404">
          <a:extLst>
            <a:ext uri="{FF2B5EF4-FFF2-40B4-BE49-F238E27FC236}">
              <a16:creationId xmlns:a16="http://schemas.microsoft.com/office/drawing/2014/main" xmlns="" id="{00000000-0008-0000-0400-000015000000}"/>
            </a:ext>
          </a:extLst>
        </xdr:cNvPr>
        <xdr:cNvSpPr txBox="1">
          <a:spLocks noChangeArrowheads="1"/>
        </xdr:cNvSpPr>
      </xdr:nvSpPr>
      <xdr:spPr bwMode="auto">
        <a:xfrm>
          <a:off x="23917275" y="1058497"/>
          <a:ext cx="42337" cy="226619"/>
        </a:xfrm>
        <a:prstGeom prst="rect">
          <a:avLst/>
        </a:prstGeom>
        <a:noFill/>
        <a:ln w="9525">
          <a:noFill/>
          <a:miter lim="800000"/>
          <a:headEnd/>
          <a:tailEnd/>
        </a:ln>
      </xdr:spPr>
      <xdr:txBody>
        <a:bodyPr vertOverflow="clip" wrap="square" lIns="0" tIns="0" rIns="0" bIns="0" anchor="t" upright="1"/>
        <a:lstStyle/>
        <a:p>
          <a:pPr algn="l" rtl="0">
            <a:defRPr sz="1000"/>
          </a:pPr>
          <a:endParaRPr lang="en-GB" sz="800" b="1" i="0" u="none" strike="noStrike" baseline="0">
            <a:solidFill>
              <a:srgbClr val="000000"/>
            </a:solidFill>
            <a:latin typeface="Times New Roman"/>
            <a:cs typeface="Times New Roman"/>
          </a:endParaRPr>
        </a:p>
      </xdr:txBody>
    </xdr:sp>
    <xdr:clientData/>
  </xdr:twoCellAnchor>
  <xdr:twoCellAnchor>
    <xdr:from>
      <xdr:col>63</xdr:col>
      <xdr:colOff>0</xdr:colOff>
      <xdr:row>2</xdr:row>
      <xdr:rowOff>144097</xdr:rowOff>
    </xdr:from>
    <xdr:to>
      <xdr:col>63</xdr:col>
      <xdr:colOff>42337</xdr:colOff>
      <xdr:row>5</xdr:row>
      <xdr:rowOff>0</xdr:rowOff>
    </xdr:to>
    <xdr:sp macro="" textlink="" fLocksText="0">
      <xdr:nvSpPr>
        <xdr:cNvPr id="22" name="Text Box 1404">
          <a:extLst>
            <a:ext uri="{FF2B5EF4-FFF2-40B4-BE49-F238E27FC236}">
              <a16:creationId xmlns:a16="http://schemas.microsoft.com/office/drawing/2014/main" xmlns="" id="{00000000-0008-0000-0400-000016000000}"/>
            </a:ext>
          </a:extLst>
        </xdr:cNvPr>
        <xdr:cNvSpPr txBox="1">
          <a:spLocks noChangeArrowheads="1"/>
        </xdr:cNvSpPr>
      </xdr:nvSpPr>
      <xdr:spPr bwMode="auto">
        <a:xfrm>
          <a:off x="23917275" y="1287097"/>
          <a:ext cx="42337" cy="541703"/>
        </a:xfrm>
        <a:prstGeom prst="rect">
          <a:avLst/>
        </a:prstGeom>
        <a:noFill/>
        <a:ln w="9525">
          <a:noFill/>
          <a:miter lim="800000"/>
          <a:headEnd/>
          <a:tailEnd/>
        </a:ln>
      </xdr:spPr>
      <xdr:txBody>
        <a:bodyPr vertOverflow="clip" wrap="square" lIns="0" tIns="0" rIns="0" bIns="0" anchor="t" upright="1"/>
        <a:lstStyle/>
        <a:p>
          <a:pPr algn="l" rtl="0">
            <a:defRPr sz="1000"/>
          </a:pPr>
          <a:endParaRPr lang="en-GB" sz="800" b="1" i="0" u="none" strike="noStrike" baseline="0">
            <a:solidFill>
              <a:srgbClr val="000000"/>
            </a:solidFill>
            <a:latin typeface="Times New Roman"/>
            <a:cs typeface="Times New Roman"/>
          </a:endParaRPr>
        </a:p>
      </xdr:txBody>
    </xdr:sp>
    <xdr:clientData/>
  </xdr:twoCellAnchor>
  <xdr:twoCellAnchor>
    <xdr:from>
      <xdr:col>54</xdr:col>
      <xdr:colOff>0</xdr:colOff>
      <xdr:row>2</xdr:row>
      <xdr:rowOff>144097</xdr:rowOff>
    </xdr:from>
    <xdr:to>
      <xdr:col>54</xdr:col>
      <xdr:colOff>42337</xdr:colOff>
      <xdr:row>3</xdr:row>
      <xdr:rowOff>142116</xdr:rowOff>
    </xdr:to>
    <xdr:sp macro="" textlink="" fLocksText="0">
      <xdr:nvSpPr>
        <xdr:cNvPr id="23" name="Text Box 1404">
          <a:extLst>
            <a:ext uri="{FF2B5EF4-FFF2-40B4-BE49-F238E27FC236}">
              <a16:creationId xmlns:a16="http://schemas.microsoft.com/office/drawing/2014/main" xmlns="" id="{00000000-0008-0000-0400-000017000000}"/>
            </a:ext>
          </a:extLst>
        </xdr:cNvPr>
        <xdr:cNvSpPr txBox="1">
          <a:spLocks noChangeArrowheads="1"/>
        </xdr:cNvSpPr>
      </xdr:nvSpPr>
      <xdr:spPr bwMode="auto">
        <a:xfrm>
          <a:off x="23917275" y="601297"/>
          <a:ext cx="42337" cy="226619"/>
        </a:xfrm>
        <a:prstGeom prst="rect">
          <a:avLst/>
        </a:prstGeom>
        <a:noFill/>
        <a:ln w="9525">
          <a:noFill/>
          <a:miter lim="800000"/>
          <a:headEnd/>
          <a:tailEnd/>
        </a:ln>
      </xdr:spPr>
      <xdr:txBody>
        <a:bodyPr vertOverflow="clip" wrap="square" lIns="0" tIns="0" rIns="0" bIns="0" anchor="t" upright="1"/>
        <a:lstStyle/>
        <a:p>
          <a:pPr algn="l" rtl="0">
            <a:defRPr sz="1000"/>
          </a:pPr>
          <a:endParaRPr lang="en-GB" sz="800" b="1" i="0" u="none" strike="noStrike" baseline="0">
            <a:solidFill>
              <a:srgbClr val="000000"/>
            </a:solidFill>
            <a:latin typeface="Times New Roman"/>
            <a:cs typeface="Times New Roman"/>
          </a:endParaRPr>
        </a:p>
      </xdr:txBody>
    </xdr:sp>
    <xdr:clientData/>
  </xdr:twoCellAnchor>
  <xdr:twoCellAnchor>
    <xdr:from>
      <xdr:col>69</xdr:col>
      <xdr:colOff>3694</xdr:colOff>
      <xdr:row>98</xdr:row>
      <xdr:rowOff>17145</xdr:rowOff>
    </xdr:from>
    <xdr:to>
      <xdr:col>69</xdr:col>
      <xdr:colOff>3694</xdr:colOff>
      <xdr:row>98</xdr:row>
      <xdr:rowOff>127635</xdr:rowOff>
    </xdr:to>
    <xdr:sp macro="" textlink="" fLocksText="0">
      <xdr:nvSpPr>
        <xdr:cNvPr id="24" name="Text Box 1395">
          <a:extLst>
            <a:ext uri="{FF2B5EF4-FFF2-40B4-BE49-F238E27FC236}">
              <a16:creationId xmlns:a16="http://schemas.microsoft.com/office/drawing/2014/main" xmlns="" id="{00000000-0008-0000-0400-000018000000}"/>
            </a:ext>
          </a:extLst>
        </xdr:cNvPr>
        <xdr:cNvSpPr txBox="1">
          <a:spLocks noChangeArrowheads="1"/>
        </xdr:cNvSpPr>
      </xdr:nvSpPr>
      <xdr:spPr bwMode="auto">
        <a:xfrm>
          <a:off x="23066894" y="50082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69</xdr:col>
      <xdr:colOff>3694</xdr:colOff>
      <xdr:row>99</xdr:row>
      <xdr:rowOff>17145</xdr:rowOff>
    </xdr:from>
    <xdr:to>
      <xdr:col>69</xdr:col>
      <xdr:colOff>3694</xdr:colOff>
      <xdr:row>99</xdr:row>
      <xdr:rowOff>127635</xdr:rowOff>
    </xdr:to>
    <xdr:sp macro="" textlink="" fLocksText="0">
      <xdr:nvSpPr>
        <xdr:cNvPr id="25" name="Text Box 1395">
          <a:extLst>
            <a:ext uri="{FF2B5EF4-FFF2-40B4-BE49-F238E27FC236}">
              <a16:creationId xmlns:a16="http://schemas.microsoft.com/office/drawing/2014/main" xmlns="" id="{00000000-0008-0000-0400-000019000000}"/>
            </a:ext>
          </a:extLst>
        </xdr:cNvPr>
        <xdr:cNvSpPr txBox="1">
          <a:spLocks noChangeArrowheads="1"/>
        </xdr:cNvSpPr>
      </xdr:nvSpPr>
      <xdr:spPr bwMode="auto">
        <a:xfrm>
          <a:off x="23066894" y="50082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69</xdr:col>
      <xdr:colOff>3694</xdr:colOff>
      <xdr:row>100</xdr:row>
      <xdr:rowOff>17145</xdr:rowOff>
    </xdr:from>
    <xdr:to>
      <xdr:col>69</xdr:col>
      <xdr:colOff>3694</xdr:colOff>
      <xdr:row>100</xdr:row>
      <xdr:rowOff>127635</xdr:rowOff>
    </xdr:to>
    <xdr:sp macro="" textlink="" fLocksText="0">
      <xdr:nvSpPr>
        <xdr:cNvPr id="26" name="Text Box 1395">
          <a:extLst>
            <a:ext uri="{FF2B5EF4-FFF2-40B4-BE49-F238E27FC236}">
              <a16:creationId xmlns:a16="http://schemas.microsoft.com/office/drawing/2014/main" xmlns="" id="{00000000-0008-0000-0400-00001A000000}"/>
            </a:ext>
          </a:extLst>
        </xdr:cNvPr>
        <xdr:cNvSpPr txBox="1">
          <a:spLocks noChangeArrowheads="1"/>
        </xdr:cNvSpPr>
      </xdr:nvSpPr>
      <xdr:spPr bwMode="auto">
        <a:xfrm>
          <a:off x="23066894" y="50082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66</xdr:col>
      <xdr:colOff>3694</xdr:colOff>
      <xdr:row>97</xdr:row>
      <xdr:rowOff>17145</xdr:rowOff>
    </xdr:from>
    <xdr:to>
      <xdr:col>66</xdr:col>
      <xdr:colOff>3694</xdr:colOff>
      <xdr:row>97</xdr:row>
      <xdr:rowOff>127635</xdr:rowOff>
    </xdr:to>
    <xdr:sp macro="" textlink="" fLocksText="0">
      <xdr:nvSpPr>
        <xdr:cNvPr id="29" name="Text Box 1395">
          <a:extLst>
            <a:ext uri="{FF2B5EF4-FFF2-40B4-BE49-F238E27FC236}">
              <a16:creationId xmlns:a16="http://schemas.microsoft.com/office/drawing/2014/main" xmlns="" id="{00000000-0008-0000-0400-00001D000000}"/>
            </a:ext>
          </a:extLst>
        </xdr:cNvPr>
        <xdr:cNvSpPr txBox="1">
          <a:spLocks noChangeArrowheads="1"/>
        </xdr:cNvSpPr>
      </xdr:nvSpPr>
      <xdr:spPr bwMode="auto">
        <a:xfrm>
          <a:off x="23066894" y="51860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66</xdr:col>
      <xdr:colOff>3694</xdr:colOff>
      <xdr:row>98</xdr:row>
      <xdr:rowOff>17145</xdr:rowOff>
    </xdr:from>
    <xdr:to>
      <xdr:col>66</xdr:col>
      <xdr:colOff>3694</xdr:colOff>
      <xdr:row>98</xdr:row>
      <xdr:rowOff>127635</xdr:rowOff>
    </xdr:to>
    <xdr:sp macro="" textlink="" fLocksText="0">
      <xdr:nvSpPr>
        <xdr:cNvPr id="30" name="Text Box 1395">
          <a:extLst>
            <a:ext uri="{FF2B5EF4-FFF2-40B4-BE49-F238E27FC236}">
              <a16:creationId xmlns:a16="http://schemas.microsoft.com/office/drawing/2014/main" xmlns="" id="{00000000-0008-0000-0400-00001E000000}"/>
            </a:ext>
          </a:extLst>
        </xdr:cNvPr>
        <xdr:cNvSpPr txBox="1">
          <a:spLocks noChangeArrowheads="1"/>
        </xdr:cNvSpPr>
      </xdr:nvSpPr>
      <xdr:spPr bwMode="auto">
        <a:xfrm>
          <a:off x="23066894" y="53638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66</xdr:col>
      <xdr:colOff>3694</xdr:colOff>
      <xdr:row>99</xdr:row>
      <xdr:rowOff>17145</xdr:rowOff>
    </xdr:from>
    <xdr:to>
      <xdr:col>66</xdr:col>
      <xdr:colOff>3694</xdr:colOff>
      <xdr:row>99</xdr:row>
      <xdr:rowOff>127635</xdr:rowOff>
    </xdr:to>
    <xdr:sp macro="" textlink="" fLocksText="0">
      <xdr:nvSpPr>
        <xdr:cNvPr id="31" name="Text Box 1395">
          <a:extLst>
            <a:ext uri="{FF2B5EF4-FFF2-40B4-BE49-F238E27FC236}">
              <a16:creationId xmlns:a16="http://schemas.microsoft.com/office/drawing/2014/main" xmlns="" id="{00000000-0008-0000-0400-00001F000000}"/>
            </a:ext>
          </a:extLst>
        </xdr:cNvPr>
        <xdr:cNvSpPr txBox="1">
          <a:spLocks noChangeArrowheads="1"/>
        </xdr:cNvSpPr>
      </xdr:nvSpPr>
      <xdr:spPr bwMode="auto">
        <a:xfrm>
          <a:off x="23066894" y="55416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66</xdr:col>
      <xdr:colOff>3694</xdr:colOff>
      <xdr:row>100</xdr:row>
      <xdr:rowOff>17145</xdr:rowOff>
    </xdr:from>
    <xdr:to>
      <xdr:col>66</xdr:col>
      <xdr:colOff>3694</xdr:colOff>
      <xdr:row>100</xdr:row>
      <xdr:rowOff>127635</xdr:rowOff>
    </xdr:to>
    <xdr:sp macro="" textlink="" fLocksText="0">
      <xdr:nvSpPr>
        <xdr:cNvPr id="32" name="Text Box 1395">
          <a:extLst>
            <a:ext uri="{FF2B5EF4-FFF2-40B4-BE49-F238E27FC236}">
              <a16:creationId xmlns:a16="http://schemas.microsoft.com/office/drawing/2014/main" xmlns="" id="{00000000-0008-0000-0400-000020000000}"/>
            </a:ext>
          </a:extLst>
        </xdr:cNvPr>
        <xdr:cNvSpPr txBox="1">
          <a:spLocks noChangeArrowheads="1"/>
        </xdr:cNvSpPr>
      </xdr:nvSpPr>
      <xdr:spPr bwMode="auto">
        <a:xfrm>
          <a:off x="23066894" y="5719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66</xdr:col>
      <xdr:colOff>3694</xdr:colOff>
      <xdr:row>98</xdr:row>
      <xdr:rowOff>17145</xdr:rowOff>
    </xdr:from>
    <xdr:to>
      <xdr:col>66</xdr:col>
      <xdr:colOff>3694</xdr:colOff>
      <xdr:row>98</xdr:row>
      <xdr:rowOff>127635</xdr:rowOff>
    </xdr:to>
    <xdr:sp macro="" textlink="" fLocksText="0">
      <xdr:nvSpPr>
        <xdr:cNvPr id="35" name="Text Box 1395">
          <a:extLst>
            <a:ext uri="{FF2B5EF4-FFF2-40B4-BE49-F238E27FC236}">
              <a16:creationId xmlns:a16="http://schemas.microsoft.com/office/drawing/2014/main" xmlns="" id="{00000000-0008-0000-0400-000023000000}"/>
            </a:ext>
          </a:extLst>
        </xdr:cNvPr>
        <xdr:cNvSpPr txBox="1">
          <a:spLocks noChangeArrowheads="1"/>
        </xdr:cNvSpPr>
      </xdr:nvSpPr>
      <xdr:spPr bwMode="auto">
        <a:xfrm>
          <a:off x="23066894" y="53638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66</xdr:col>
      <xdr:colOff>3694</xdr:colOff>
      <xdr:row>99</xdr:row>
      <xdr:rowOff>17145</xdr:rowOff>
    </xdr:from>
    <xdr:to>
      <xdr:col>66</xdr:col>
      <xdr:colOff>3694</xdr:colOff>
      <xdr:row>99</xdr:row>
      <xdr:rowOff>127635</xdr:rowOff>
    </xdr:to>
    <xdr:sp macro="" textlink="" fLocksText="0">
      <xdr:nvSpPr>
        <xdr:cNvPr id="36" name="Text Box 1395">
          <a:extLst>
            <a:ext uri="{FF2B5EF4-FFF2-40B4-BE49-F238E27FC236}">
              <a16:creationId xmlns:a16="http://schemas.microsoft.com/office/drawing/2014/main" xmlns="" id="{00000000-0008-0000-0400-000024000000}"/>
            </a:ext>
          </a:extLst>
        </xdr:cNvPr>
        <xdr:cNvSpPr txBox="1">
          <a:spLocks noChangeArrowheads="1"/>
        </xdr:cNvSpPr>
      </xdr:nvSpPr>
      <xdr:spPr bwMode="auto">
        <a:xfrm>
          <a:off x="23066894" y="55416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66</xdr:col>
      <xdr:colOff>3694</xdr:colOff>
      <xdr:row>100</xdr:row>
      <xdr:rowOff>17145</xdr:rowOff>
    </xdr:from>
    <xdr:to>
      <xdr:col>66</xdr:col>
      <xdr:colOff>3694</xdr:colOff>
      <xdr:row>100</xdr:row>
      <xdr:rowOff>127635</xdr:rowOff>
    </xdr:to>
    <xdr:sp macro="" textlink="" fLocksText="0">
      <xdr:nvSpPr>
        <xdr:cNvPr id="37" name="Text Box 1395">
          <a:extLst>
            <a:ext uri="{FF2B5EF4-FFF2-40B4-BE49-F238E27FC236}">
              <a16:creationId xmlns:a16="http://schemas.microsoft.com/office/drawing/2014/main" xmlns="" id="{00000000-0008-0000-0400-000025000000}"/>
            </a:ext>
          </a:extLst>
        </xdr:cNvPr>
        <xdr:cNvSpPr txBox="1">
          <a:spLocks noChangeArrowheads="1"/>
        </xdr:cNvSpPr>
      </xdr:nvSpPr>
      <xdr:spPr bwMode="auto">
        <a:xfrm>
          <a:off x="23066894" y="5719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57</xdr:col>
      <xdr:colOff>3694</xdr:colOff>
      <xdr:row>29</xdr:row>
      <xdr:rowOff>17145</xdr:rowOff>
    </xdr:from>
    <xdr:to>
      <xdr:col>57</xdr:col>
      <xdr:colOff>3694</xdr:colOff>
      <xdr:row>29</xdr:row>
      <xdr:rowOff>127635</xdr:rowOff>
    </xdr:to>
    <xdr:sp macro="" textlink="" fLocksText="0">
      <xdr:nvSpPr>
        <xdr:cNvPr id="51" name="Text Box 1395">
          <a:extLst>
            <a:ext uri="{FF2B5EF4-FFF2-40B4-BE49-F238E27FC236}">
              <a16:creationId xmlns:a16="http://schemas.microsoft.com/office/drawing/2014/main" xmlns="" id="{00000000-0008-0000-0400-000033000000}"/>
            </a:ext>
          </a:extLst>
        </xdr:cNvPr>
        <xdr:cNvSpPr txBox="1">
          <a:spLocks noChangeArrowheads="1"/>
        </xdr:cNvSpPr>
      </xdr:nvSpPr>
      <xdr:spPr bwMode="auto">
        <a:xfrm>
          <a:off x="30253250" y="17592306"/>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57</xdr:col>
      <xdr:colOff>3694</xdr:colOff>
      <xdr:row>30</xdr:row>
      <xdr:rowOff>17145</xdr:rowOff>
    </xdr:from>
    <xdr:to>
      <xdr:col>57</xdr:col>
      <xdr:colOff>3694</xdr:colOff>
      <xdr:row>30</xdr:row>
      <xdr:rowOff>127635</xdr:rowOff>
    </xdr:to>
    <xdr:sp macro="" textlink="" fLocksText="0">
      <xdr:nvSpPr>
        <xdr:cNvPr id="52" name="Text Box 1395">
          <a:extLst>
            <a:ext uri="{FF2B5EF4-FFF2-40B4-BE49-F238E27FC236}">
              <a16:creationId xmlns:a16="http://schemas.microsoft.com/office/drawing/2014/main" xmlns="" id="{00000000-0008-0000-0400-000034000000}"/>
            </a:ext>
          </a:extLst>
        </xdr:cNvPr>
        <xdr:cNvSpPr txBox="1">
          <a:spLocks noChangeArrowheads="1"/>
        </xdr:cNvSpPr>
      </xdr:nvSpPr>
      <xdr:spPr bwMode="auto">
        <a:xfrm>
          <a:off x="30253250" y="17838113"/>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57</xdr:col>
      <xdr:colOff>3694</xdr:colOff>
      <xdr:row>31</xdr:row>
      <xdr:rowOff>17145</xdr:rowOff>
    </xdr:from>
    <xdr:to>
      <xdr:col>57</xdr:col>
      <xdr:colOff>3694</xdr:colOff>
      <xdr:row>31</xdr:row>
      <xdr:rowOff>127635</xdr:rowOff>
    </xdr:to>
    <xdr:sp macro="" textlink="" fLocksText="0">
      <xdr:nvSpPr>
        <xdr:cNvPr id="53" name="Text Box 1395">
          <a:extLst>
            <a:ext uri="{FF2B5EF4-FFF2-40B4-BE49-F238E27FC236}">
              <a16:creationId xmlns:a16="http://schemas.microsoft.com/office/drawing/2014/main" xmlns="" id="{00000000-0008-0000-0400-000035000000}"/>
            </a:ext>
          </a:extLst>
        </xdr:cNvPr>
        <xdr:cNvSpPr txBox="1">
          <a:spLocks noChangeArrowheads="1"/>
        </xdr:cNvSpPr>
      </xdr:nvSpPr>
      <xdr:spPr bwMode="auto">
        <a:xfrm>
          <a:off x="30253250" y="18083919"/>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57</xdr:col>
      <xdr:colOff>3694</xdr:colOff>
      <xdr:row>32</xdr:row>
      <xdr:rowOff>17145</xdr:rowOff>
    </xdr:from>
    <xdr:to>
      <xdr:col>57</xdr:col>
      <xdr:colOff>3694</xdr:colOff>
      <xdr:row>32</xdr:row>
      <xdr:rowOff>127635</xdr:rowOff>
    </xdr:to>
    <xdr:sp macro="" textlink="" fLocksText="0">
      <xdr:nvSpPr>
        <xdr:cNvPr id="54" name="Text Box 1395">
          <a:extLst>
            <a:ext uri="{FF2B5EF4-FFF2-40B4-BE49-F238E27FC236}">
              <a16:creationId xmlns:a16="http://schemas.microsoft.com/office/drawing/2014/main" xmlns="" id="{00000000-0008-0000-0400-000036000000}"/>
            </a:ext>
          </a:extLst>
        </xdr:cNvPr>
        <xdr:cNvSpPr txBox="1">
          <a:spLocks noChangeArrowheads="1"/>
        </xdr:cNvSpPr>
      </xdr:nvSpPr>
      <xdr:spPr bwMode="auto">
        <a:xfrm>
          <a:off x="30253250" y="18329726"/>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57</xdr:col>
      <xdr:colOff>3694</xdr:colOff>
      <xdr:row>33</xdr:row>
      <xdr:rowOff>17145</xdr:rowOff>
    </xdr:from>
    <xdr:to>
      <xdr:col>57</xdr:col>
      <xdr:colOff>3694</xdr:colOff>
      <xdr:row>33</xdr:row>
      <xdr:rowOff>127635</xdr:rowOff>
    </xdr:to>
    <xdr:sp macro="" textlink="" fLocksText="0">
      <xdr:nvSpPr>
        <xdr:cNvPr id="55" name="Text Box 1395">
          <a:extLst>
            <a:ext uri="{FF2B5EF4-FFF2-40B4-BE49-F238E27FC236}">
              <a16:creationId xmlns:a16="http://schemas.microsoft.com/office/drawing/2014/main" xmlns="" id="{00000000-0008-0000-0400-000037000000}"/>
            </a:ext>
          </a:extLst>
        </xdr:cNvPr>
        <xdr:cNvSpPr txBox="1">
          <a:spLocks noChangeArrowheads="1"/>
        </xdr:cNvSpPr>
      </xdr:nvSpPr>
      <xdr:spPr bwMode="auto">
        <a:xfrm>
          <a:off x="30253250" y="18575532"/>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57</xdr:col>
      <xdr:colOff>3694</xdr:colOff>
      <xdr:row>34</xdr:row>
      <xdr:rowOff>17145</xdr:rowOff>
    </xdr:from>
    <xdr:to>
      <xdr:col>57</xdr:col>
      <xdr:colOff>3694</xdr:colOff>
      <xdr:row>34</xdr:row>
      <xdr:rowOff>127635</xdr:rowOff>
    </xdr:to>
    <xdr:sp macro="" textlink="" fLocksText="0">
      <xdr:nvSpPr>
        <xdr:cNvPr id="56" name="Text Box 1395">
          <a:extLst>
            <a:ext uri="{FF2B5EF4-FFF2-40B4-BE49-F238E27FC236}">
              <a16:creationId xmlns:a16="http://schemas.microsoft.com/office/drawing/2014/main" xmlns="" id="{00000000-0008-0000-0400-000038000000}"/>
            </a:ext>
          </a:extLst>
        </xdr:cNvPr>
        <xdr:cNvSpPr txBox="1">
          <a:spLocks noChangeArrowheads="1"/>
        </xdr:cNvSpPr>
      </xdr:nvSpPr>
      <xdr:spPr bwMode="auto">
        <a:xfrm>
          <a:off x="30253250" y="18821339"/>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57</xdr:col>
      <xdr:colOff>3694</xdr:colOff>
      <xdr:row>30</xdr:row>
      <xdr:rowOff>17145</xdr:rowOff>
    </xdr:from>
    <xdr:to>
      <xdr:col>57</xdr:col>
      <xdr:colOff>3694</xdr:colOff>
      <xdr:row>30</xdr:row>
      <xdr:rowOff>127635</xdr:rowOff>
    </xdr:to>
    <xdr:sp macro="" textlink="" fLocksText="0">
      <xdr:nvSpPr>
        <xdr:cNvPr id="57" name="Text Box 1395">
          <a:extLst>
            <a:ext uri="{FF2B5EF4-FFF2-40B4-BE49-F238E27FC236}">
              <a16:creationId xmlns:a16="http://schemas.microsoft.com/office/drawing/2014/main" xmlns="" id="{00000000-0008-0000-0400-000039000000}"/>
            </a:ext>
          </a:extLst>
        </xdr:cNvPr>
        <xdr:cNvSpPr txBox="1">
          <a:spLocks noChangeArrowheads="1"/>
        </xdr:cNvSpPr>
      </xdr:nvSpPr>
      <xdr:spPr bwMode="auto">
        <a:xfrm>
          <a:off x="30253250" y="17838113"/>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57</xdr:col>
      <xdr:colOff>3694</xdr:colOff>
      <xdr:row>31</xdr:row>
      <xdr:rowOff>17145</xdr:rowOff>
    </xdr:from>
    <xdr:to>
      <xdr:col>57</xdr:col>
      <xdr:colOff>3694</xdr:colOff>
      <xdr:row>31</xdr:row>
      <xdr:rowOff>127635</xdr:rowOff>
    </xdr:to>
    <xdr:sp macro="" textlink="" fLocksText="0">
      <xdr:nvSpPr>
        <xdr:cNvPr id="58" name="Text Box 1395">
          <a:extLst>
            <a:ext uri="{FF2B5EF4-FFF2-40B4-BE49-F238E27FC236}">
              <a16:creationId xmlns:a16="http://schemas.microsoft.com/office/drawing/2014/main" xmlns="" id="{00000000-0008-0000-0400-00003A000000}"/>
            </a:ext>
          </a:extLst>
        </xdr:cNvPr>
        <xdr:cNvSpPr txBox="1">
          <a:spLocks noChangeArrowheads="1"/>
        </xdr:cNvSpPr>
      </xdr:nvSpPr>
      <xdr:spPr bwMode="auto">
        <a:xfrm>
          <a:off x="30253250" y="18083919"/>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57</xdr:col>
      <xdr:colOff>3694</xdr:colOff>
      <xdr:row>32</xdr:row>
      <xdr:rowOff>17145</xdr:rowOff>
    </xdr:from>
    <xdr:to>
      <xdr:col>57</xdr:col>
      <xdr:colOff>3694</xdr:colOff>
      <xdr:row>32</xdr:row>
      <xdr:rowOff>127635</xdr:rowOff>
    </xdr:to>
    <xdr:sp macro="" textlink="" fLocksText="0">
      <xdr:nvSpPr>
        <xdr:cNvPr id="59" name="Text Box 1395">
          <a:extLst>
            <a:ext uri="{FF2B5EF4-FFF2-40B4-BE49-F238E27FC236}">
              <a16:creationId xmlns:a16="http://schemas.microsoft.com/office/drawing/2014/main" xmlns="" id="{00000000-0008-0000-0400-00003B000000}"/>
            </a:ext>
          </a:extLst>
        </xdr:cNvPr>
        <xdr:cNvSpPr txBox="1">
          <a:spLocks noChangeArrowheads="1"/>
        </xdr:cNvSpPr>
      </xdr:nvSpPr>
      <xdr:spPr bwMode="auto">
        <a:xfrm>
          <a:off x="30253250" y="18329726"/>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57</xdr:col>
      <xdr:colOff>3694</xdr:colOff>
      <xdr:row>33</xdr:row>
      <xdr:rowOff>17145</xdr:rowOff>
    </xdr:from>
    <xdr:to>
      <xdr:col>57</xdr:col>
      <xdr:colOff>3694</xdr:colOff>
      <xdr:row>33</xdr:row>
      <xdr:rowOff>127635</xdr:rowOff>
    </xdr:to>
    <xdr:sp macro="" textlink="" fLocksText="0">
      <xdr:nvSpPr>
        <xdr:cNvPr id="60" name="Text Box 1395">
          <a:extLst>
            <a:ext uri="{FF2B5EF4-FFF2-40B4-BE49-F238E27FC236}">
              <a16:creationId xmlns:a16="http://schemas.microsoft.com/office/drawing/2014/main" xmlns="" id="{00000000-0008-0000-0400-00003C000000}"/>
            </a:ext>
          </a:extLst>
        </xdr:cNvPr>
        <xdr:cNvSpPr txBox="1">
          <a:spLocks noChangeArrowheads="1"/>
        </xdr:cNvSpPr>
      </xdr:nvSpPr>
      <xdr:spPr bwMode="auto">
        <a:xfrm>
          <a:off x="30253250" y="18575532"/>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57</xdr:col>
      <xdr:colOff>3694</xdr:colOff>
      <xdr:row>34</xdr:row>
      <xdr:rowOff>17145</xdr:rowOff>
    </xdr:from>
    <xdr:to>
      <xdr:col>57</xdr:col>
      <xdr:colOff>3694</xdr:colOff>
      <xdr:row>34</xdr:row>
      <xdr:rowOff>127635</xdr:rowOff>
    </xdr:to>
    <xdr:sp macro="" textlink="" fLocksText="0">
      <xdr:nvSpPr>
        <xdr:cNvPr id="61" name="Text Box 1395">
          <a:extLst>
            <a:ext uri="{FF2B5EF4-FFF2-40B4-BE49-F238E27FC236}">
              <a16:creationId xmlns:a16="http://schemas.microsoft.com/office/drawing/2014/main" xmlns="" id="{00000000-0008-0000-0400-00003D000000}"/>
            </a:ext>
          </a:extLst>
        </xdr:cNvPr>
        <xdr:cNvSpPr txBox="1">
          <a:spLocks noChangeArrowheads="1"/>
        </xdr:cNvSpPr>
      </xdr:nvSpPr>
      <xdr:spPr bwMode="auto">
        <a:xfrm>
          <a:off x="30253250" y="18821339"/>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97</xdr:row>
      <xdr:rowOff>17145</xdr:rowOff>
    </xdr:from>
    <xdr:to>
      <xdr:col>68</xdr:col>
      <xdr:colOff>3694</xdr:colOff>
      <xdr:row>97</xdr:row>
      <xdr:rowOff>127635</xdr:rowOff>
    </xdr:to>
    <xdr:sp macro="" textlink="" fLocksText="0">
      <xdr:nvSpPr>
        <xdr:cNvPr id="73" name="Text Box 1395">
          <a:extLst>
            <a:ext uri="{FF2B5EF4-FFF2-40B4-BE49-F238E27FC236}">
              <a16:creationId xmlns:a16="http://schemas.microsoft.com/office/drawing/2014/main" xmlns="" id="{00000000-0008-0000-0400-000049000000}"/>
            </a:ext>
          </a:extLst>
        </xdr:cNvPr>
        <xdr:cNvSpPr txBox="1">
          <a:spLocks noChangeArrowheads="1"/>
        </xdr:cNvSpPr>
      </xdr:nvSpPr>
      <xdr:spPr bwMode="auto">
        <a:xfrm>
          <a:off x="230668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69</xdr:col>
      <xdr:colOff>3694</xdr:colOff>
      <xdr:row>98</xdr:row>
      <xdr:rowOff>17145</xdr:rowOff>
    </xdr:from>
    <xdr:to>
      <xdr:col>69</xdr:col>
      <xdr:colOff>3694</xdr:colOff>
      <xdr:row>98</xdr:row>
      <xdr:rowOff>127635</xdr:rowOff>
    </xdr:to>
    <xdr:sp macro="" textlink="" fLocksText="0">
      <xdr:nvSpPr>
        <xdr:cNvPr id="74" name="Text Box 1395">
          <a:extLst>
            <a:ext uri="{FF2B5EF4-FFF2-40B4-BE49-F238E27FC236}">
              <a16:creationId xmlns:a16="http://schemas.microsoft.com/office/drawing/2014/main" xmlns="" id="{00000000-0008-0000-0400-00004A000000}"/>
            </a:ext>
          </a:extLst>
        </xdr:cNvPr>
        <xdr:cNvSpPr txBox="1">
          <a:spLocks noChangeArrowheads="1"/>
        </xdr:cNvSpPr>
      </xdr:nvSpPr>
      <xdr:spPr bwMode="auto">
        <a:xfrm>
          <a:off x="23066894" y="183559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69</xdr:col>
      <xdr:colOff>3694</xdr:colOff>
      <xdr:row>99</xdr:row>
      <xdr:rowOff>17145</xdr:rowOff>
    </xdr:from>
    <xdr:to>
      <xdr:col>69</xdr:col>
      <xdr:colOff>3694</xdr:colOff>
      <xdr:row>99</xdr:row>
      <xdr:rowOff>127635</xdr:rowOff>
    </xdr:to>
    <xdr:sp macro="" textlink="" fLocksText="0">
      <xdr:nvSpPr>
        <xdr:cNvPr id="75" name="Text Box 1395">
          <a:extLst>
            <a:ext uri="{FF2B5EF4-FFF2-40B4-BE49-F238E27FC236}">
              <a16:creationId xmlns:a16="http://schemas.microsoft.com/office/drawing/2014/main" xmlns="" id="{00000000-0008-0000-0400-00004B000000}"/>
            </a:ext>
          </a:extLst>
        </xdr:cNvPr>
        <xdr:cNvSpPr txBox="1">
          <a:spLocks noChangeArrowheads="1"/>
        </xdr:cNvSpPr>
      </xdr:nvSpPr>
      <xdr:spPr bwMode="auto">
        <a:xfrm>
          <a:off x="23066894" y="18546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69</xdr:col>
      <xdr:colOff>3694</xdr:colOff>
      <xdr:row>100</xdr:row>
      <xdr:rowOff>17145</xdr:rowOff>
    </xdr:from>
    <xdr:to>
      <xdr:col>69</xdr:col>
      <xdr:colOff>3694</xdr:colOff>
      <xdr:row>100</xdr:row>
      <xdr:rowOff>127635</xdr:rowOff>
    </xdr:to>
    <xdr:sp macro="" textlink="" fLocksText="0">
      <xdr:nvSpPr>
        <xdr:cNvPr id="76" name="Text Box 1395">
          <a:extLst>
            <a:ext uri="{FF2B5EF4-FFF2-40B4-BE49-F238E27FC236}">
              <a16:creationId xmlns:a16="http://schemas.microsoft.com/office/drawing/2014/main" xmlns="" id="{00000000-0008-0000-0400-00004C000000}"/>
            </a:ext>
          </a:extLst>
        </xdr:cNvPr>
        <xdr:cNvSpPr txBox="1">
          <a:spLocks noChangeArrowheads="1"/>
        </xdr:cNvSpPr>
      </xdr:nvSpPr>
      <xdr:spPr bwMode="auto">
        <a:xfrm>
          <a:off x="23066894" y="187369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69</xdr:col>
      <xdr:colOff>3694</xdr:colOff>
      <xdr:row>98</xdr:row>
      <xdr:rowOff>17145</xdr:rowOff>
    </xdr:from>
    <xdr:to>
      <xdr:col>69</xdr:col>
      <xdr:colOff>3694</xdr:colOff>
      <xdr:row>98</xdr:row>
      <xdr:rowOff>127635</xdr:rowOff>
    </xdr:to>
    <xdr:sp macro="" textlink="" fLocksText="0">
      <xdr:nvSpPr>
        <xdr:cNvPr id="79" name="Text Box 1395">
          <a:extLst>
            <a:ext uri="{FF2B5EF4-FFF2-40B4-BE49-F238E27FC236}">
              <a16:creationId xmlns:a16="http://schemas.microsoft.com/office/drawing/2014/main" xmlns="" id="{00000000-0008-0000-0400-00004F000000}"/>
            </a:ext>
          </a:extLst>
        </xdr:cNvPr>
        <xdr:cNvSpPr txBox="1">
          <a:spLocks noChangeArrowheads="1"/>
        </xdr:cNvSpPr>
      </xdr:nvSpPr>
      <xdr:spPr bwMode="auto">
        <a:xfrm>
          <a:off x="23066894" y="183559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69</xdr:col>
      <xdr:colOff>3694</xdr:colOff>
      <xdr:row>99</xdr:row>
      <xdr:rowOff>17145</xdr:rowOff>
    </xdr:from>
    <xdr:to>
      <xdr:col>69</xdr:col>
      <xdr:colOff>3694</xdr:colOff>
      <xdr:row>99</xdr:row>
      <xdr:rowOff>127635</xdr:rowOff>
    </xdr:to>
    <xdr:sp macro="" textlink="" fLocksText="0">
      <xdr:nvSpPr>
        <xdr:cNvPr id="80" name="Text Box 1395">
          <a:extLst>
            <a:ext uri="{FF2B5EF4-FFF2-40B4-BE49-F238E27FC236}">
              <a16:creationId xmlns:a16="http://schemas.microsoft.com/office/drawing/2014/main" xmlns="" id="{00000000-0008-0000-0400-000050000000}"/>
            </a:ext>
          </a:extLst>
        </xdr:cNvPr>
        <xdr:cNvSpPr txBox="1">
          <a:spLocks noChangeArrowheads="1"/>
        </xdr:cNvSpPr>
      </xdr:nvSpPr>
      <xdr:spPr bwMode="auto">
        <a:xfrm>
          <a:off x="23066894" y="18546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69</xdr:col>
      <xdr:colOff>3694</xdr:colOff>
      <xdr:row>100</xdr:row>
      <xdr:rowOff>17145</xdr:rowOff>
    </xdr:from>
    <xdr:to>
      <xdr:col>69</xdr:col>
      <xdr:colOff>3694</xdr:colOff>
      <xdr:row>100</xdr:row>
      <xdr:rowOff>127635</xdr:rowOff>
    </xdr:to>
    <xdr:sp macro="" textlink="" fLocksText="0">
      <xdr:nvSpPr>
        <xdr:cNvPr id="81" name="Text Box 1395">
          <a:extLst>
            <a:ext uri="{FF2B5EF4-FFF2-40B4-BE49-F238E27FC236}">
              <a16:creationId xmlns:a16="http://schemas.microsoft.com/office/drawing/2014/main" xmlns="" id="{00000000-0008-0000-0400-000051000000}"/>
            </a:ext>
          </a:extLst>
        </xdr:cNvPr>
        <xdr:cNvSpPr txBox="1">
          <a:spLocks noChangeArrowheads="1"/>
        </xdr:cNvSpPr>
      </xdr:nvSpPr>
      <xdr:spPr bwMode="auto">
        <a:xfrm>
          <a:off x="23066894" y="187369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97</xdr:row>
      <xdr:rowOff>17145</xdr:rowOff>
    </xdr:from>
    <xdr:to>
      <xdr:col>68</xdr:col>
      <xdr:colOff>3694</xdr:colOff>
      <xdr:row>97</xdr:row>
      <xdr:rowOff>127635</xdr:rowOff>
    </xdr:to>
    <xdr:sp macro="" textlink="" fLocksText="0">
      <xdr:nvSpPr>
        <xdr:cNvPr id="89" name="Text Box 1395">
          <a:extLst>
            <a:ext uri="{FF2B5EF4-FFF2-40B4-BE49-F238E27FC236}">
              <a16:creationId xmlns:a16="http://schemas.microsoft.com/office/drawing/2014/main" xmlns="" id="{00000000-0008-0000-0400-000059000000}"/>
            </a:ext>
          </a:extLst>
        </xdr:cNvPr>
        <xdr:cNvSpPr txBox="1">
          <a:spLocks noChangeArrowheads="1"/>
        </xdr:cNvSpPr>
      </xdr:nvSpPr>
      <xdr:spPr bwMode="auto">
        <a:xfrm>
          <a:off x="230668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98</xdr:row>
      <xdr:rowOff>17145</xdr:rowOff>
    </xdr:from>
    <xdr:to>
      <xdr:col>68</xdr:col>
      <xdr:colOff>3694</xdr:colOff>
      <xdr:row>98</xdr:row>
      <xdr:rowOff>127635</xdr:rowOff>
    </xdr:to>
    <xdr:sp macro="" textlink="" fLocksText="0">
      <xdr:nvSpPr>
        <xdr:cNvPr id="90" name="Text Box 1395">
          <a:extLst>
            <a:ext uri="{FF2B5EF4-FFF2-40B4-BE49-F238E27FC236}">
              <a16:creationId xmlns:a16="http://schemas.microsoft.com/office/drawing/2014/main" xmlns="" id="{00000000-0008-0000-0400-00005A000000}"/>
            </a:ext>
          </a:extLst>
        </xdr:cNvPr>
        <xdr:cNvSpPr txBox="1">
          <a:spLocks noChangeArrowheads="1"/>
        </xdr:cNvSpPr>
      </xdr:nvSpPr>
      <xdr:spPr bwMode="auto">
        <a:xfrm>
          <a:off x="235367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98</xdr:row>
      <xdr:rowOff>17145</xdr:rowOff>
    </xdr:from>
    <xdr:to>
      <xdr:col>68</xdr:col>
      <xdr:colOff>3694</xdr:colOff>
      <xdr:row>98</xdr:row>
      <xdr:rowOff>127635</xdr:rowOff>
    </xdr:to>
    <xdr:sp macro="" textlink="" fLocksText="0">
      <xdr:nvSpPr>
        <xdr:cNvPr id="91" name="Text Box 1395">
          <a:extLst>
            <a:ext uri="{FF2B5EF4-FFF2-40B4-BE49-F238E27FC236}">
              <a16:creationId xmlns:a16="http://schemas.microsoft.com/office/drawing/2014/main" xmlns="" id="{00000000-0008-0000-0400-00005B000000}"/>
            </a:ext>
          </a:extLst>
        </xdr:cNvPr>
        <xdr:cNvSpPr txBox="1">
          <a:spLocks noChangeArrowheads="1"/>
        </xdr:cNvSpPr>
      </xdr:nvSpPr>
      <xdr:spPr bwMode="auto">
        <a:xfrm>
          <a:off x="235367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98</xdr:row>
      <xdr:rowOff>17145</xdr:rowOff>
    </xdr:from>
    <xdr:to>
      <xdr:col>68</xdr:col>
      <xdr:colOff>3694</xdr:colOff>
      <xdr:row>98</xdr:row>
      <xdr:rowOff>127635</xdr:rowOff>
    </xdr:to>
    <xdr:sp macro="" textlink="" fLocksText="0">
      <xdr:nvSpPr>
        <xdr:cNvPr id="92" name="Text Box 1395">
          <a:extLst>
            <a:ext uri="{FF2B5EF4-FFF2-40B4-BE49-F238E27FC236}">
              <a16:creationId xmlns:a16="http://schemas.microsoft.com/office/drawing/2014/main" xmlns="" id="{00000000-0008-0000-0400-00005C000000}"/>
            </a:ext>
          </a:extLst>
        </xdr:cNvPr>
        <xdr:cNvSpPr txBox="1">
          <a:spLocks noChangeArrowheads="1"/>
        </xdr:cNvSpPr>
      </xdr:nvSpPr>
      <xdr:spPr bwMode="auto">
        <a:xfrm>
          <a:off x="235367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99</xdr:row>
      <xdr:rowOff>17145</xdr:rowOff>
    </xdr:from>
    <xdr:to>
      <xdr:col>68</xdr:col>
      <xdr:colOff>3694</xdr:colOff>
      <xdr:row>99</xdr:row>
      <xdr:rowOff>127635</xdr:rowOff>
    </xdr:to>
    <xdr:sp macro="" textlink="" fLocksText="0">
      <xdr:nvSpPr>
        <xdr:cNvPr id="93" name="Text Box 1395">
          <a:extLst>
            <a:ext uri="{FF2B5EF4-FFF2-40B4-BE49-F238E27FC236}">
              <a16:creationId xmlns:a16="http://schemas.microsoft.com/office/drawing/2014/main" xmlns="" id="{00000000-0008-0000-0400-00005D000000}"/>
            </a:ext>
          </a:extLst>
        </xdr:cNvPr>
        <xdr:cNvSpPr txBox="1">
          <a:spLocks noChangeArrowheads="1"/>
        </xdr:cNvSpPr>
      </xdr:nvSpPr>
      <xdr:spPr bwMode="auto">
        <a:xfrm>
          <a:off x="235367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99</xdr:row>
      <xdr:rowOff>17145</xdr:rowOff>
    </xdr:from>
    <xdr:to>
      <xdr:col>68</xdr:col>
      <xdr:colOff>3694</xdr:colOff>
      <xdr:row>99</xdr:row>
      <xdr:rowOff>127635</xdr:rowOff>
    </xdr:to>
    <xdr:sp macro="" textlink="" fLocksText="0">
      <xdr:nvSpPr>
        <xdr:cNvPr id="94" name="Text Box 1395">
          <a:extLst>
            <a:ext uri="{FF2B5EF4-FFF2-40B4-BE49-F238E27FC236}">
              <a16:creationId xmlns:a16="http://schemas.microsoft.com/office/drawing/2014/main" xmlns="" id="{00000000-0008-0000-0400-00005E000000}"/>
            </a:ext>
          </a:extLst>
        </xdr:cNvPr>
        <xdr:cNvSpPr txBox="1">
          <a:spLocks noChangeArrowheads="1"/>
        </xdr:cNvSpPr>
      </xdr:nvSpPr>
      <xdr:spPr bwMode="auto">
        <a:xfrm>
          <a:off x="235367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99</xdr:row>
      <xdr:rowOff>17145</xdr:rowOff>
    </xdr:from>
    <xdr:to>
      <xdr:col>68</xdr:col>
      <xdr:colOff>3694</xdr:colOff>
      <xdr:row>99</xdr:row>
      <xdr:rowOff>127635</xdr:rowOff>
    </xdr:to>
    <xdr:sp macro="" textlink="" fLocksText="0">
      <xdr:nvSpPr>
        <xdr:cNvPr id="95" name="Text Box 1395">
          <a:extLst>
            <a:ext uri="{FF2B5EF4-FFF2-40B4-BE49-F238E27FC236}">
              <a16:creationId xmlns:a16="http://schemas.microsoft.com/office/drawing/2014/main" xmlns="" id="{00000000-0008-0000-0400-00005F000000}"/>
            </a:ext>
          </a:extLst>
        </xdr:cNvPr>
        <xdr:cNvSpPr txBox="1">
          <a:spLocks noChangeArrowheads="1"/>
        </xdr:cNvSpPr>
      </xdr:nvSpPr>
      <xdr:spPr bwMode="auto">
        <a:xfrm>
          <a:off x="235367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100</xdr:row>
      <xdr:rowOff>17145</xdr:rowOff>
    </xdr:from>
    <xdr:to>
      <xdr:col>68</xdr:col>
      <xdr:colOff>3694</xdr:colOff>
      <xdr:row>100</xdr:row>
      <xdr:rowOff>127635</xdr:rowOff>
    </xdr:to>
    <xdr:sp macro="" textlink="" fLocksText="0">
      <xdr:nvSpPr>
        <xdr:cNvPr id="96" name="Text Box 1395">
          <a:extLst>
            <a:ext uri="{FF2B5EF4-FFF2-40B4-BE49-F238E27FC236}">
              <a16:creationId xmlns:a16="http://schemas.microsoft.com/office/drawing/2014/main" xmlns="" id="{00000000-0008-0000-0400-000060000000}"/>
            </a:ext>
          </a:extLst>
        </xdr:cNvPr>
        <xdr:cNvSpPr txBox="1">
          <a:spLocks noChangeArrowheads="1"/>
        </xdr:cNvSpPr>
      </xdr:nvSpPr>
      <xdr:spPr bwMode="auto">
        <a:xfrm>
          <a:off x="235367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100</xdr:row>
      <xdr:rowOff>17145</xdr:rowOff>
    </xdr:from>
    <xdr:to>
      <xdr:col>68</xdr:col>
      <xdr:colOff>3694</xdr:colOff>
      <xdr:row>100</xdr:row>
      <xdr:rowOff>127635</xdr:rowOff>
    </xdr:to>
    <xdr:sp macro="" textlink="" fLocksText="0">
      <xdr:nvSpPr>
        <xdr:cNvPr id="97" name="Text Box 1395">
          <a:extLst>
            <a:ext uri="{FF2B5EF4-FFF2-40B4-BE49-F238E27FC236}">
              <a16:creationId xmlns:a16="http://schemas.microsoft.com/office/drawing/2014/main" xmlns="" id="{00000000-0008-0000-0400-000061000000}"/>
            </a:ext>
          </a:extLst>
        </xdr:cNvPr>
        <xdr:cNvSpPr txBox="1">
          <a:spLocks noChangeArrowheads="1"/>
        </xdr:cNvSpPr>
      </xdr:nvSpPr>
      <xdr:spPr bwMode="auto">
        <a:xfrm>
          <a:off x="235367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100</xdr:row>
      <xdr:rowOff>17145</xdr:rowOff>
    </xdr:from>
    <xdr:to>
      <xdr:col>68</xdr:col>
      <xdr:colOff>3694</xdr:colOff>
      <xdr:row>100</xdr:row>
      <xdr:rowOff>127635</xdr:rowOff>
    </xdr:to>
    <xdr:sp macro="" textlink="" fLocksText="0">
      <xdr:nvSpPr>
        <xdr:cNvPr id="98" name="Text Box 1395">
          <a:extLst>
            <a:ext uri="{FF2B5EF4-FFF2-40B4-BE49-F238E27FC236}">
              <a16:creationId xmlns:a16="http://schemas.microsoft.com/office/drawing/2014/main" xmlns="" id="{00000000-0008-0000-0400-000062000000}"/>
            </a:ext>
          </a:extLst>
        </xdr:cNvPr>
        <xdr:cNvSpPr txBox="1">
          <a:spLocks noChangeArrowheads="1"/>
        </xdr:cNvSpPr>
      </xdr:nvSpPr>
      <xdr:spPr bwMode="auto">
        <a:xfrm>
          <a:off x="235367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98</xdr:row>
      <xdr:rowOff>17145</xdr:rowOff>
    </xdr:from>
    <xdr:to>
      <xdr:col>68</xdr:col>
      <xdr:colOff>3694</xdr:colOff>
      <xdr:row>98</xdr:row>
      <xdr:rowOff>127635</xdr:rowOff>
    </xdr:to>
    <xdr:sp macro="" textlink="" fLocksText="0">
      <xdr:nvSpPr>
        <xdr:cNvPr id="105" name="Text Box 1395">
          <a:extLst>
            <a:ext uri="{FF2B5EF4-FFF2-40B4-BE49-F238E27FC236}">
              <a16:creationId xmlns:a16="http://schemas.microsoft.com/office/drawing/2014/main" xmlns="" id="{00000000-0008-0000-0400-000069000000}"/>
            </a:ext>
          </a:extLst>
        </xdr:cNvPr>
        <xdr:cNvSpPr txBox="1">
          <a:spLocks noChangeArrowheads="1"/>
        </xdr:cNvSpPr>
      </xdr:nvSpPr>
      <xdr:spPr bwMode="auto">
        <a:xfrm>
          <a:off x="235367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98</xdr:row>
      <xdr:rowOff>17145</xdr:rowOff>
    </xdr:from>
    <xdr:to>
      <xdr:col>68</xdr:col>
      <xdr:colOff>3694</xdr:colOff>
      <xdr:row>98</xdr:row>
      <xdr:rowOff>127635</xdr:rowOff>
    </xdr:to>
    <xdr:sp macro="" textlink="" fLocksText="0">
      <xdr:nvSpPr>
        <xdr:cNvPr id="106" name="Text Box 1395">
          <a:extLst>
            <a:ext uri="{FF2B5EF4-FFF2-40B4-BE49-F238E27FC236}">
              <a16:creationId xmlns:a16="http://schemas.microsoft.com/office/drawing/2014/main" xmlns="" id="{00000000-0008-0000-0400-00006A000000}"/>
            </a:ext>
          </a:extLst>
        </xdr:cNvPr>
        <xdr:cNvSpPr txBox="1">
          <a:spLocks noChangeArrowheads="1"/>
        </xdr:cNvSpPr>
      </xdr:nvSpPr>
      <xdr:spPr bwMode="auto">
        <a:xfrm>
          <a:off x="235367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98</xdr:row>
      <xdr:rowOff>17145</xdr:rowOff>
    </xdr:from>
    <xdr:to>
      <xdr:col>68</xdr:col>
      <xdr:colOff>3694</xdr:colOff>
      <xdr:row>98</xdr:row>
      <xdr:rowOff>127635</xdr:rowOff>
    </xdr:to>
    <xdr:sp macro="" textlink="" fLocksText="0">
      <xdr:nvSpPr>
        <xdr:cNvPr id="107" name="Text Box 1395">
          <a:extLst>
            <a:ext uri="{FF2B5EF4-FFF2-40B4-BE49-F238E27FC236}">
              <a16:creationId xmlns:a16="http://schemas.microsoft.com/office/drawing/2014/main" xmlns="" id="{00000000-0008-0000-0400-00006B000000}"/>
            </a:ext>
          </a:extLst>
        </xdr:cNvPr>
        <xdr:cNvSpPr txBox="1">
          <a:spLocks noChangeArrowheads="1"/>
        </xdr:cNvSpPr>
      </xdr:nvSpPr>
      <xdr:spPr bwMode="auto">
        <a:xfrm>
          <a:off x="235367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99</xdr:row>
      <xdr:rowOff>17145</xdr:rowOff>
    </xdr:from>
    <xdr:to>
      <xdr:col>68</xdr:col>
      <xdr:colOff>3694</xdr:colOff>
      <xdr:row>99</xdr:row>
      <xdr:rowOff>127635</xdr:rowOff>
    </xdr:to>
    <xdr:sp macro="" textlink="" fLocksText="0">
      <xdr:nvSpPr>
        <xdr:cNvPr id="108" name="Text Box 1395">
          <a:extLst>
            <a:ext uri="{FF2B5EF4-FFF2-40B4-BE49-F238E27FC236}">
              <a16:creationId xmlns:a16="http://schemas.microsoft.com/office/drawing/2014/main" xmlns="" id="{00000000-0008-0000-0400-00006C000000}"/>
            </a:ext>
          </a:extLst>
        </xdr:cNvPr>
        <xdr:cNvSpPr txBox="1">
          <a:spLocks noChangeArrowheads="1"/>
        </xdr:cNvSpPr>
      </xdr:nvSpPr>
      <xdr:spPr bwMode="auto">
        <a:xfrm>
          <a:off x="235367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99</xdr:row>
      <xdr:rowOff>17145</xdr:rowOff>
    </xdr:from>
    <xdr:to>
      <xdr:col>68</xdr:col>
      <xdr:colOff>3694</xdr:colOff>
      <xdr:row>99</xdr:row>
      <xdr:rowOff>127635</xdr:rowOff>
    </xdr:to>
    <xdr:sp macro="" textlink="" fLocksText="0">
      <xdr:nvSpPr>
        <xdr:cNvPr id="109" name="Text Box 1395">
          <a:extLst>
            <a:ext uri="{FF2B5EF4-FFF2-40B4-BE49-F238E27FC236}">
              <a16:creationId xmlns:a16="http://schemas.microsoft.com/office/drawing/2014/main" xmlns="" id="{00000000-0008-0000-0400-00006D000000}"/>
            </a:ext>
          </a:extLst>
        </xdr:cNvPr>
        <xdr:cNvSpPr txBox="1">
          <a:spLocks noChangeArrowheads="1"/>
        </xdr:cNvSpPr>
      </xdr:nvSpPr>
      <xdr:spPr bwMode="auto">
        <a:xfrm>
          <a:off x="235367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99</xdr:row>
      <xdr:rowOff>17145</xdr:rowOff>
    </xdr:from>
    <xdr:to>
      <xdr:col>68</xdr:col>
      <xdr:colOff>3694</xdr:colOff>
      <xdr:row>99</xdr:row>
      <xdr:rowOff>127635</xdr:rowOff>
    </xdr:to>
    <xdr:sp macro="" textlink="" fLocksText="0">
      <xdr:nvSpPr>
        <xdr:cNvPr id="110" name="Text Box 1395">
          <a:extLst>
            <a:ext uri="{FF2B5EF4-FFF2-40B4-BE49-F238E27FC236}">
              <a16:creationId xmlns:a16="http://schemas.microsoft.com/office/drawing/2014/main" xmlns="" id="{00000000-0008-0000-0400-00006E000000}"/>
            </a:ext>
          </a:extLst>
        </xdr:cNvPr>
        <xdr:cNvSpPr txBox="1">
          <a:spLocks noChangeArrowheads="1"/>
        </xdr:cNvSpPr>
      </xdr:nvSpPr>
      <xdr:spPr bwMode="auto">
        <a:xfrm>
          <a:off x="235367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100</xdr:row>
      <xdr:rowOff>17145</xdr:rowOff>
    </xdr:from>
    <xdr:to>
      <xdr:col>68</xdr:col>
      <xdr:colOff>3694</xdr:colOff>
      <xdr:row>100</xdr:row>
      <xdr:rowOff>127635</xdr:rowOff>
    </xdr:to>
    <xdr:sp macro="" textlink="" fLocksText="0">
      <xdr:nvSpPr>
        <xdr:cNvPr id="111" name="Text Box 1395">
          <a:extLst>
            <a:ext uri="{FF2B5EF4-FFF2-40B4-BE49-F238E27FC236}">
              <a16:creationId xmlns:a16="http://schemas.microsoft.com/office/drawing/2014/main" xmlns="" id="{00000000-0008-0000-0400-00006F000000}"/>
            </a:ext>
          </a:extLst>
        </xdr:cNvPr>
        <xdr:cNvSpPr txBox="1">
          <a:spLocks noChangeArrowheads="1"/>
        </xdr:cNvSpPr>
      </xdr:nvSpPr>
      <xdr:spPr bwMode="auto">
        <a:xfrm>
          <a:off x="235367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100</xdr:row>
      <xdr:rowOff>17145</xdr:rowOff>
    </xdr:from>
    <xdr:to>
      <xdr:col>68</xdr:col>
      <xdr:colOff>3694</xdr:colOff>
      <xdr:row>100</xdr:row>
      <xdr:rowOff>127635</xdr:rowOff>
    </xdr:to>
    <xdr:sp macro="" textlink="" fLocksText="0">
      <xdr:nvSpPr>
        <xdr:cNvPr id="112" name="Text Box 1395">
          <a:extLst>
            <a:ext uri="{FF2B5EF4-FFF2-40B4-BE49-F238E27FC236}">
              <a16:creationId xmlns:a16="http://schemas.microsoft.com/office/drawing/2014/main" xmlns="" id="{00000000-0008-0000-0400-000070000000}"/>
            </a:ext>
          </a:extLst>
        </xdr:cNvPr>
        <xdr:cNvSpPr txBox="1">
          <a:spLocks noChangeArrowheads="1"/>
        </xdr:cNvSpPr>
      </xdr:nvSpPr>
      <xdr:spPr bwMode="auto">
        <a:xfrm>
          <a:off x="235367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100</xdr:row>
      <xdr:rowOff>17145</xdr:rowOff>
    </xdr:from>
    <xdr:to>
      <xdr:col>68</xdr:col>
      <xdr:colOff>3694</xdr:colOff>
      <xdr:row>100</xdr:row>
      <xdr:rowOff>127635</xdr:rowOff>
    </xdr:to>
    <xdr:sp macro="" textlink="" fLocksText="0">
      <xdr:nvSpPr>
        <xdr:cNvPr id="113" name="Text Box 1395">
          <a:extLst>
            <a:ext uri="{FF2B5EF4-FFF2-40B4-BE49-F238E27FC236}">
              <a16:creationId xmlns:a16="http://schemas.microsoft.com/office/drawing/2014/main" xmlns="" id="{00000000-0008-0000-0400-000071000000}"/>
            </a:ext>
          </a:extLst>
        </xdr:cNvPr>
        <xdr:cNvSpPr txBox="1">
          <a:spLocks noChangeArrowheads="1"/>
        </xdr:cNvSpPr>
      </xdr:nvSpPr>
      <xdr:spPr bwMode="auto">
        <a:xfrm>
          <a:off x="235367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66</xdr:col>
      <xdr:colOff>3694</xdr:colOff>
      <xdr:row>98</xdr:row>
      <xdr:rowOff>17145</xdr:rowOff>
    </xdr:from>
    <xdr:to>
      <xdr:col>66</xdr:col>
      <xdr:colOff>3694</xdr:colOff>
      <xdr:row>98</xdr:row>
      <xdr:rowOff>127635</xdr:rowOff>
    </xdr:to>
    <xdr:sp macro="" textlink="" fLocksText="0">
      <xdr:nvSpPr>
        <xdr:cNvPr id="123" name="Text Box 1395">
          <a:extLst>
            <a:ext uri="{FF2B5EF4-FFF2-40B4-BE49-F238E27FC236}">
              <a16:creationId xmlns:a16="http://schemas.microsoft.com/office/drawing/2014/main" xmlns="" id="{00000000-0008-0000-0400-00007B000000}"/>
            </a:ext>
          </a:extLst>
        </xdr:cNvPr>
        <xdr:cNvSpPr txBox="1">
          <a:spLocks noChangeArrowheads="1"/>
        </xdr:cNvSpPr>
      </xdr:nvSpPr>
      <xdr:spPr bwMode="auto">
        <a:xfrm>
          <a:off x="231430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66</xdr:col>
      <xdr:colOff>3694</xdr:colOff>
      <xdr:row>99</xdr:row>
      <xdr:rowOff>17145</xdr:rowOff>
    </xdr:from>
    <xdr:to>
      <xdr:col>66</xdr:col>
      <xdr:colOff>3694</xdr:colOff>
      <xdr:row>99</xdr:row>
      <xdr:rowOff>127635</xdr:rowOff>
    </xdr:to>
    <xdr:sp macro="" textlink="" fLocksText="0">
      <xdr:nvSpPr>
        <xdr:cNvPr id="124" name="Text Box 1395">
          <a:extLst>
            <a:ext uri="{FF2B5EF4-FFF2-40B4-BE49-F238E27FC236}">
              <a16:creationId xmlns:a16="http://schemas.microsoft.com/office/drawing/2014/main" xmlns="" id="{00000000-0008-0000-0400-00007C000000}"/>
            </a:ext>
          </a:extLst>
        </xdr:cNvPr>
        <xdr:cNvSpPr txBox="1">
          <a:spLocks noChangeArrowheads="1"/>
        </xdr:cNvSpPr>
      </xdr:nvSpPr>
      <xdr:spPr bwMode="auto">
        <a:xfrm>
          <a:off x="231430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66</xdr:col>
      <xdr:colOff>3694</xdr:colOff>
      <xdr:row>100</xdr:row>
      <xdr:rowOff>17145</xdr:rowOff>
    </xdr:from>
    <xdr:to>
      <xdr:col>66</xdr:col>
      <xdr:colOff>3694</xdr:colOff>
      <xdr:row>100</xdr:row>
      <xdr:rowOff>127635</xdr:rowOff>
    </xdr:to>
    <xdr:sp macro="" textlink="" fLocksText="0">
      <xdr:nvSpPr>
        <xdr:cNvPr id="125" name="Text Box 1395">
          <a:extLst>
            <a:ext uri="{FF2B5EF4-FFF2-40B4-BE49-F238E27FC236}">
              <a16:creationId xmlns:a16="http://schemas.microsoft.com/office/drawing/2014/main" xmlns="" id="{00000000-0008-0000-0400-00007D000000}"/>
            </a:ext>
          </a:extLst>
        </xdr:cNvPr>
        <xdr:cNvSpPr txBox="1">
          <a:spLocks noChangeArrowheads="1"/>
        </xdr:cNvSpPr>
      </xdr:nvSpPr>
      <xdr:spPr bwMode="auto">
        <a:xfrm>
          <a:off x="231430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98</xdr:row>
      <xdr:rowOff>17145</xdr:rowOff>
    </xdr:from>
    <xdr:to>
      <xdr:col>68</xdr:col>
      <xdr:colOff>3694</xdr:colOff>
      <xdr:row>98</xdr:row>
      <xdr:rowOff>127635</xdr:rowOff>
    </xdr:to>
    <xdr:sp macro="" textlink="" fLocksText="0">
      <xdr:nvSpPr>
        <xdr:cNvPr id="163" name="Text Box 1395">
          <a:extLst>
            <a:ext uri="{FF2B5EF4-FFF2-40B4-BE49-F238E27FC236}">
              <a16:creationId xmlns:a16="http://schemas.microsoft.com/office/drawing/2014/main" xmlns="" id="{00000000-0008-0000-0400-0000A3000000}"/>
            </a:ext>
          </a:extLst>
        </xdr:cNvPr>
        <xdr:cNvSpPr txBox="1">
          <a:spLocks noChangeArrowheads="1"/>
        </xdr:cNvSpPr>
      </xdr:nvSpPr>
      <xdr:spPr bwMode="auto">
        <a:xfrm>
          <a:off x="237399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98</xdr:row>
      <xdr:rowOff>17145</xdr:rowOff>
    </xdr:from>
    <xdr:to>
      <xdr:col>68</xdr:col>
      <xdr:colOff>3694</xdr:colOff>
      <xdr:row>98</xdr:row>
      <xdr:rowOff>127635</xdr:rowOff>
    </xdr:to>
    <xdr:sp macro="" textlink="" fLocksText="0">
      <xdr:nvSpPr>
        <xdr:cNvPr id="164" name="Text Box 1395">
          <a:extLst>
            <a:ext uri="{FF2B5EF4-FFF2-40B4-BE49-F238E27FC236}">
              <a16:creationId xmlns:a16="http://schemas.microsoft.com/office/drawing/2014/main" xmlns="" id="{00000000-0008-0000-0400-0000A4000000}"/>
            </a:ext>
          </a:extLst>
        </xdr:cNvPr>
        <xdr:cNvSpPr txBox="1">
          <a:spLocks noChangeArrowheads="1"/>
        </xdr:cNvSpPr>
      </xdr:nvSpPr>
      <xdr:spPr bwMode="auto">
        <a:xfrm>
          <a:off x="237399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98</xdr:row>
      <xdr:rowOff>17145</xdr:rowOff>
    </xdr:from>
    <xdr:to>
      <xdr:col>68</xdr:col>
      <xdr:colOff>3694</xdr:colOff>
      <xdr:row>98</xdr:row>
      <xdr:rowOff>127635</xdr:rowOff>
    </xdr:to>
    <xdr:sp macro="" textlink="" fLocksText="0">
      <xdr:nvSpPr>
        <xdr:cNvPr id="165" name="Text Box 1395">
          <a:extLst>
            <a:ext uri="{FF2B5EF4-FFF2-40B4-BE49-F238E27FC236}">
              <a16:creationId xmlns:a16="http://schemas.microsoft.com/office/drawing/2014/main" xmlns="" id="{00000000-0008-0000-0400-0000A5000000}"/>
            </a:ext>
          </a:extLst>
        </xdr:cNvPr>
        <xdr:cNvSpPr txBox="1">
          <a:spLocks noChangeArrowheads="1"/>
        </xdr:cNvSpPr>
      </xdr:nvSpPr>
      <xdr:spPr bwMode="auto">
        <a:xfrm>
          <a:off x="237399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99</xdr:row>
      <xdr:rowOff>17145</xdr:rowOff>
    </xdr:from>
    <xdr:to>
      <xdr:col>68</xdr:col>
      <xdr:colOff>3694</xdr:colOff>
      <xdr:row>99</xdr:row>
      <xdr:rowOff>127635</xdr:rowOff>
    </xdr:to>
    <xdr:sp macro="" textlink="" fLocksText="0">
      <xdr:nvSpPr>
        <xdr:cNvPr id="166" name="Text Box 1395">
          <a:extLst>
            <a:ext uri="{FF2B5EF4-FFF2-40B4-BE49-F238E27FC236}">
              <a16:creationId xmlns:a16="http://schemas.microsoft.com/office/drawing/2014/main" xmlns="" id="{00000000-0008-0000-0400-0000A6000000}"/>
            </a:ext>
          </a:extLst>
        </xdr:cNvPr>
        <xdr:cNvSpPr txBox="1">
          <a:spLocks noChangeArrowheads="1"/>
        </xdr:cNvSpPr>
      </xdr:nvSpPr>
      <xdr:spPr bwMode="auto">
        <a:xfrm>
          <a:off x="237399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99</xdr:row>
      <xdr:rowOff>17145</xdr:rowOff>
    </xdr:from>
    <xdr:to>
      <xdr:col>68</xdr:col>
      <xdr:colOff>3694</xdr:colOff>
      <xdr:row>99</xdr:row>
      <xdr:rowOff>127635</xdr:rowOff>
    </xdr:to>
    <xdr:sp macro="" textlink="" fLocksText="0">
      <xdr:nvSpPr>
        <xdr:cNvPr id="167" name="Text Box 1395">
          <a:extLst>
            <a:ext uri="{FF2B5EF4-FFF2-40B4-BE49-F238E27FC236}">
              <a16:creationId xmlns:a16="http://schemas.microsoft.com/office/drawing/2014/main" xmlns="" id="{00000000-0008-0000-0400-0000A7000000}"/>
            </a:ext>
          </a:extLst>
        </xdr:cNvPr>
        <xdr:cNvSpPr txBox="1">
          <a:spLocks noChangeArrowheads="1"/>
        </xdr:cNvSpPr>
      </xdr:nvSpPr>
      <xdr:spPr bwMode="auto">
        <a:xfrm>
          <a:off x="237399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99</xdr:row>
      <xdr:rowOff>17145</xdr:rowOff>
    </xdr:from>
    <xdr:to>
      <xdr:col>68</xdr:col>
      <xdr:colOff>3694</xdr:colOff>
      <xdr:row>99</xdr:row>
      <xdr:rowOff>127635</xdr:rowOff>
    </xdr:to>
    <xdr:sp macro="" textlink="" fLocksText="0">
      <xdr:nvSpPr>
        <xdr:cNvPr id="168" name="Text Box 1395">
          <a:extLst>
            <a:ext uri="{FF2B5EF4-FFF2-40B4-BE49-F238E27FC236}">
              <a16:creationId xmlns:a16="http://schemas.microsoft.com/office/drawing/2014/main" xmlns="" id="{00000000-0008-0000-0400-0000A8000000}"/>
            </a:ext>
          </a:extLst>
        </xdr:cNvPr>
        <xdr:cNvSpPr txBox="1">
          <a:spLocks noChangeArrowheads="1"/>
        </xdr:cNvSpPr>
      </xdr:nvSpPr>
      <xdr:spPr bwMode="auto">
        <a:xfrm>
          <a:off x="237399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100</xdr:row>
      <xdr:rowOff>17145</xdr:rowOff>
    </xdr:from>
    <xdr:to>
      <xdr:col>68</xdr:col>
      <xdr:colOff>3694</xdr:colOff>
      <xdr:row>100</xdr:row>
      <xdr:rowOff>127635</xdr:rowOff>
    </xdr:to>
    <xdr:sp macro="" textlink="" fLocksText="0">
      <xdr:nvSpPr>
        <xdr:cNvPr id="169" name="Text Box 1395">
          <a:extLst>
            <a:ext uri="{FF2B5EF4-FFF2-40B4-BE49-F238E27FC236}">
              <a16:creationId xmlns:a16="http://schemas.microsoft.com/office/drawing/2014/main" xmlns="" id="{00000000-0008-0000-0400-0000A9000000}"/>
            </a:ext>
          </a:extLst>
        </xdr:cNvPr>
        <xdr:cNvSpPr txBox="1">
          <a:spLocks noChangeArrowheads="1"/>
        </xdr:cNvSpPr>
      </xdr:nvSpPr>
      <xdr:spPr bwMode="auto">
        <a:xfrm>
          <a:off x="237399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100</xdr:row>
      <xdr:rowOff>17145</xdr:rowOff>
    </xdr:from>
    <xdr:to>
      <xdr:col>68</xdr:col>
      <xdr:colOff>3694</xdr:colOff>
      <xdr:row>100</xdr:row>
      <xdr:rowOff>127635</xdr:rowOff>
    </xdr:to>
    <xdr:sp macro="" textlink="" fLocksText="0">
      <xdr:nvSpPr>
        <xdr:cNvPr id="170" name="Text Box 1395">
          <a:extLst>
            <a:ext uri="{FF2B5EF4-FFF2-40B4-BE49-F238E27FC236}">
              <a16:creationId xmlns:a16="http://schemas.microsoft.com/office/drawing/2014/main" xmlns="" id="{00000000-0008-0000-0400-0000AA000000}"/>
            </a:ext>
          </a:extLst>
        </xdr:cNvPr>
        <xdr:cNvSpPr txBox="1">
          <a:spLocks noChangeArrowheads="1"/>
        </xdr:cNvSpPr>
      </xdr:nvSpPr>
      <xdr:spPr bwMode="auto">
        <a:xfrm>
          <a:off x="237399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68</xdr:col>
      <xdr:colOff>3694</xdr:colOff>
      <xdr:row>100</xdr:row>
      <xdr:rowOff>17145</xdr:rowOff>
    </xdr:from>
    <xdr:to>
      <xdr:col>68</xdr:col>
      <xdr:colOff>3694</xdr:colOff>
      <xdr:row>100</xdr:row>
      <xdr:rowOff>127635</xdr:rowOff>
    </xdr:to>
    <xdr:sp macro="" textlink="" fLocksText="0">
      <xdr:nvSpPr>
        <xdr:cNvPr id="171" name="Text Box 1395">
          <a:extLst>
            <a:ext uri="{FF2B5EF4-FFF2-40B4-BE49-F238E27FC236}">
              <a16:creationId xmlns:a16="http://schemas.microsoft.com/office/drawing/2014/main" xmlns="" id="{00000000-0008-0000-0400-0000AB000000}"/>
            </a:ext>
          </a:extLst>
        </xdr:cNvPr>
        <xdr:cNvSpPr txBox="1">
          <a:spLocks noChangeArrowheads="1"/>
        </xdr:cNvSpPr>
      </xdr:nvSpPr>
      <xdr:spPr bwMode="auto">
        <a:xfrm>
          <a:off x="237399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98</xdr:row>
      <xdr:rowOff>17145</xdr:rowOff>
    </xdr:from>
    <xdr:to>
      <xdr:col>60</xdr:col>
      <xdr:colOff>3694</xdr:colOff>
      <xdr:row>98</xdr:row>
      <xdr:rowOff>127635</xdr:rowOff>
    </xdr:to>
    <xdr:sp macro="" textlink="" fLocksText="0">
      <xdr:nvSpPr>
        <xdr:cNvPr id="122" name="Text Box 1395">
          <a:extLst>
            <a:ext uri="{FF2B5EF4-FFF2-40B4-BE49-F238E27FC236}">
              <a16:creationId xmlns:a16="http://schemas.microsoft.com/office/drawing/2014/main" xmlns="" id="{00000000-0008-0000-0400-00007A000000}"/>
            </a:ext>
          </a:extLst>
        </xdr:cNvPr>
        <xdr:cNvSpPr txBox="1">
          <a:spLocks noChangeArrowheads="1"/>
        </xdr:cNvSpPr>
      </xdr:nvSpPr>
      <xdr:spPr bwMode="auto">
        <a:xfrm>
          <a:off x="23955894" y="183559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99</xdr:row>
      <xdr:rowOff>17145</xdr:rowOff>
    </xdr:from>
    <xdr:to>
      <xdr:col>60</xdr:col>
      <xdr:colOff>3694</xdr:colOff>
      <xdr:row>99</xdr:row>
      <xdr:rowOff>127635</xdr:rowOff>
    </xdr:to>
    <xdr:sp macro="" textlink="" fLocksText="0">
      <xdr:nvSpPr>
        <xdr:cNvPr id="128" name="Text Box 1395">
          <a:extLst>
            <a:ext uri="{FF2B5EF4-FFF2-40B4-BE49-F238E27FC236}">
              <a16:creationId xmlns:a16="http://schemas.microsoft.com/office/drawing/2014/main" xmlns="" id="{00000000-0008-0000-0400-000080000000}"/>
            </a:ext>
          </a:extLst>
        </xdr:cNvPr>
        <xdr:cNvSpPr txBox="1">
          <a:spLocks noChangeArrowheads="1"/>
        </xdr:cNvSpPr>
      </xdr:nvSpPr>
      <xdr:spPr bwMode="auto">
        <a:xfrm>
          <a:off x="23955894" y="18546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100</xdr:row>
      <xdr:rowOff>17145</xdr:rowOff>
    </xdr:from>
    <xdr:to>
      <xdr:col>60</xdr:col>
      <xdr:colOff>3694</xdr:colOff>
      <xdr:row>100</xdr:row>
      <xdr:rowOff>127635</xdr:rowOff>
    </xdr:to>
    <xdr:sp macro="" textlink="" fLocksText="0">
      <xdr:nvSpPr>
        <xdr:cNvPr id="129" name="Text Box 1395">
          <a:extLst>
            <a:ext uri="{FF2B5EF4-FFF2-40B4-BE49-F238E27FC236}">
              <a16:creationId xmlns:a16="http://schemas.microsoft.com/office/drawing/2014/main" xmlns="" id="{00000000-0008-0000-0400-000081000000}"/>
            </a:ext>
          </a:extLst>
        </xdr:cNvPr>
        <xdr:cNvSpPr txBox="1">
          <a:spLocks noChangeArrowheads="1"/>
        </xdr:cNvSpPr>
      </xdr:nvSpPr>
      <xdr:spPr bwMode="auto">
        <a:xfrm>
          <a:off x="23955894" y="187369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98</xdr:row>
      <xdr:rowOff>17145</xdr:rowOff>
    </xdr:from>
    <xdr:to>
      <xdr:col>60</xdr:col>
      <xdr:colOff>3694</xdr:colOff>
      <xdr:row>98</xdr:row>
      <xdr:rowOff>127635</xdr:rowOff>
    </xdr:to>
    <xdr:sp macro="" textlink="" fLocksText="0">
      <xdr:nvSpPr>
        <xdr:cNvPr id="132" name="Text Box 1395">
          <a:extLst>
            <a:ext uri="{FF2B5EF4-FFF2-40B4-BE49-F238E27FC236}">
              <a16:creationId xmlns:a16="http://schemas.microsoft.com/office/drawing/2014/main" xmlns="" id="{00000000-0008-0000-0400-000084000000}"/>
            </a:ext>
          </a:extLst>
        </xdr:cNvPr>
        <xdr:cNvSpPr txBox="1">
          <a:spLocks noChangeArrowheads="1"/>
        </xdr:cNvSpPr>
      </xdr:nvSpPr>
      <xdr:spPr bwMode="auto">
        <a:xfrm>
          <a:off x="23955894" y="183559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99</xdr:row>
      <xdr:rowOff>17145</xdr:rowOff>
    </xdr:from>
    <xdr:to>
      <xdr:col>60</xdr:col>
      <xdr:colOff>3694</xdr:colOff>
      <xdr:row>99</xdr:row>
      <xdr:rowOff>127635</xdr:rowOff>
    </xdr:to>
    <xdr:sp macro="" textlink="" fLocksText="0">
      <xdr:nvSpPr>
        <xdr:cNvPr id="133" name="Text Box 1395">
          <a:extLst>
            <a:ext uri="{FF2B5EF4-FFF2-40B4-BE49-F238E27FC236}">
              <a16:creationId xmlns:a16="http://schemas.microsoft.com/office/drawing/2014/main" xmlns="" id="{00000000-0008-0000-0400-000085000000}"/>
            </a:ext>
          </a:extLst>
        </xdr:cNvPr>
        <xdr:cNvSpPr txBox="1">
          <a:spLocks noChangeArrowheads="1"/>
        </xdr:cNvSpPr>
      </xdr:nvSpPr>
      <xdr:spPr bwMode="auto">
        <a:xfrm>
          <a:off x="23955894" y="18546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100</xdr:row>
      <xdr:rowOff>17145</xdr:rowOff>
    </xdr:from>
    <xdr:to>
      <xdr:col>60</xdr:col>
      <xdr:colOff>3694</xdr:colOff>
      <xdr:row>100</xdr:row>
      <xdr:rowOff>127635</xdr:rowOff>
    </xdr:to>
    <xdr:sp macro="" textlink="" fLocksText="0">
      <xdr:nvSpPr>
        <xdr:cNvPr id="134" name="Text Box 1395">
          <a:extLst>
            <a:ext uri="{FF2B5EF4-FFF2-40B4-BE49-F238E27FC236}">
              <a16:creationId xmlns:a16="http://schemas.microsoft.com/office/drawing/2014/main" xmlns="" id="{00000000-0008-0000-0400-000086000000}"/>
            </a:ext>
          </a:extLst>
        </xdr:cNvPr>
        <xdr:cNvSpPr txBox="1">
          <a:spLocks noChangeArrowheads="1"/>
        </xdr:cNvSpPr>
      </xdr:nvSpPr>
      <xdr:spPr bwMode="auto">
        <a:xfrm>
          <a:off x="23955894" y="187369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97</xdr:row>
      <xdr:rowOff>17145</xdr:rowOff>
    </xdr:from>
    <xdr:to>
      <xdr:col>58</xdr:col>
      <xdr:colOff>3694</xdr:colOff>
      <xdr:row>97</xdr:row>
      <xdr:rowOff>127635</xdr:rowOff>
    </xdr:to>
    <xdr:sp macro="" textlink="" fLocksText="0">
      <xdr:nvSpPr>
        <xdr:cNvPr id="137" name="Text Box 1395">
          <a:extLst>
            <a:ext uri="{FF2B5EF4-FFF2-40B4-BE49-F238E27FC236}">
              <a16:creationId xmlns:a16="http://schemas.microsoft.com/office/drawing/2014/main" xmlns="" id="{00000000-0008-0000-0400-000089000000}"/>
            </a:ext>
          </a:extLst>
        </xdr:cNvPr>
        <xdr:cNvSpPr txBox="1">
          <a:spLocks noChangeArrowheads="1"/>
        </xdr:cNvSpPr>
      </xdr:nvSpPr>
      <xdr:spPr bwMode="auto">
        <a:xfrm>
          <a:off x="23143094" y="18165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98</xdr:row>
      <xdr:rowOff>17145</xdr:rowOff>
    </xdr:from>
    <xdr:to>
      <xdr:col>58</xdr:col>
      <xdr:colOff>3694</xdr:colOff>
      <xdr:row>98</xdr:row>
      <xdr:rowOff>127635</xdr:rowOff>
    </xdr:to>
    <xdr:sp macro="" textlink="" fLocksText="0">
      <xdr:nvSpPr>
        <xdr:cNvPr id="138" name="Text Box 1395">
          <a:extLst>
            <a:ext uri="{FF2B5EF4-FFF2-40B4-BE49-F238E27FC236}">
              <a16:creationId xmlns:a16="http://schemas.microsoft.com/office/drawing/2014/main" xmlns="" id="{00000000-0008-0000-0400-00008A000000}"/>
            </a:ext>
          </a:extLst>
        </xdr:cNvPr>
        <xdr:cNvSpPr txBox="1">
          <a:spLocks noChangeArrowheads="1"/>
        </xdr:cNvSpPr>
      </xdr:nvSpPr>
      <xdr:spPr bwMode="auto">
        <a:xfrm>
          <a:off x="23143094" y="183559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99</xdr:row>
      <xdr:rowOff>17145</xdr:rowOff>
    </xdr:from>
    <xdr:to>
      <xdr:col>58</xdr:col>
      <xdr:colOff>3694</xdr:colOff>
      <xdr:row>99</xdr:row>
      <xdr:rowOff>127635</xdr:rowOff>
    </xdr:to>
    <xdr:sp macro="" textlink="" fLocksText="0">
      <xdr:nvSpPr>
        <xdr:cNvPr id="139" name="Text Box 1395">
          <a:extLst>
            <a:ext uri="{FF2B5EF4-FFF2-40B4-BE49-F238E27FC236}">
              <a16:creationId xmlns:a16="http://schemas.microsoft.com/office/drawing/2014/main" xmlns="" id="{00000000-0008-0000-0400-00008B000000}"/>
            </a:ext>
          </a:extLst>
        </xdr:cNvPr>
        <xdr:cNvSpPr txBox="1">
          <a:spLocks noChangeArrowheads="1"/>
        </xdr:cNvSpPr>
      </xdr:nvSpPr>
      <xdr:spPr bwMode="auto">
        <a:xfrm>
          <a:off x="23143094" y="18546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100</xdr:row>
      <xdr:rowOff>17145</xdr:rowOff>
    </xdr:from>
    <xdr:to>
      <xdr:col>58</xdr:col>
      <xdr:colOff>3694</xdr:colOff>
      <xdr:row>100</xdr:row>
      <xdr:rowOff>127635</xdr:rowOff>
    </xdr:to>
    <xdr:sp macro="" textlink="" fLocksText="0">
      <xdr:nvSpPr>
        <xdr:cNvPr id="140" name="Text Box 1395">
          <a:extLst>
            <a:ext uri="{FF2B5EF4-FFF2-40B4-BE49-F238E27FC236}">
              <a16:creationId xmlns:a16="http://schemas.microsoft.com/office/drawing/2014/main" xmlns="" id="{00000000-0008-0000-0400-00008C000000}"/>
            </a:ext>
          </a:extLst>
        </xdr:cNvPr>
        <xdr:cNvSpPr txBox="1">
          <a:spLocks noChangeArrowheads="1"/>
        </xdr:cNvSpPr>
      </xdr:nvSpPr>
      <xdr:spPr bwMode="auto">
        <a:xfrm>
          <a:off x="23143094" y="187369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98</xdr:row>
      <xdr:rowOff>17145</xdr:rowOff>
    </xdr:from>
    <xdr:to>
      <xdr:col>58</xdr:col>
      <xdr:colOff>3694</xdr:colOff>
      <xdr:row>98</xdr:row>
      <xdr:rowOff>127635</xdr:rowOff>
    </xdr:to>
    <xdr:sp macro="" textlink="" fLocksText="0">
      <xdr:nvSpPr>
        <xdr:cNvPr id="143" name="Text Box 1395">
          <a:extLst>
            <a:ext uri="{FF2B5EF4-FFF2-40B4-BE49-F238E27FC236}">
              <a16:creationId xmlns:a16="http://schemas.microsoft.com/office/drawing/2014/main" xmlns="" id="{00000000-0008-0000-0400-00008F000000}"/>
            </a:ext>
          </a:extLst>
        </xdr:cNvPr>
        <xdr:cNvSpPr txBox="1">
          <a:spLocks noChangeArrowheads="1"/>
        </xdr:cNvSpPr>
      </xdr:nvSpPr>
      <xdr:spPr bwMode="auto">
        <a:xfrm>
          <a:off x="23143094" y="183559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99</xdr:row>
      <xdr:rowOff>17145</xdr:rowOff>
    </xdr:from>
    <xdr:to>
      <xdr:col>58</xdr:col>
      <xdr:colOff>3694</xdr:colOff>
      <xdr:row>99</xdr:row>
      <xdr:rowOff>127635</xdr:rowOff>
    </xdr:to>
    <xdr:sp macro="" textlink="" fLocksText="0">
      <xdr:nvSpPr>
        <xdr:cNvPr id="144" name="Text Box 1395">
          <a:extLst>
            <a:ext uri="{FF2B5EF4-FFF2-40B4-BE49-F238E27FC236}">
              <a16:creationId xmlns:a16="http://schemas.microsoft.com/office/drawing/2014/main" xmlns="" id="{00000000-0008-0000-0400-000090000000}"/>
            </a:ext>
          </a:extLst>
        </xdr:cNvPr>
        <xdr:cNvSpPr txBox="1">
          <a:spLocks noChangeArrowheads="1"/>
        </xdr:cNvSpPr>
      </xdr:nvSpPr>
      <xdr:spPr bwMode="auto">
        <a:xfrm>
          <a:off x="23143094" y="18546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100</xdr:row>
      <xdr:rowOff>17145</xdr:rowOff>
    </xdr:from>
    <xdr:to>
      <xdr:col>58</xdr:col>
      <xdr:colOff>3694</xdr:colOff>
      <xdr:row>100</xdr:row>
      <xdr:rowOff>127635</xdr:rowOff>
    </xdr:to>
    <xdr:sp macro="" textlink="" fLocksText="0">
      <xdr:nvSpPr>
        <xdr:cNvPr id="145" name="Text Box 1395">
          <a:extLst>
            <a:ext uri="{FF2B5EF4-FFF2-40B4-BE49-F238E27FC236}">
              <a16:creationId xmlns:a16="http://schemas.microsoft.com/office/drawing/2014/main" xmlns="" id="{00000000-0008-0000-0400-000091000000}"/>
            </a:ext>
          </a:extLst>
        </xdr:cNvPr>
        <xdr:cNvSpPr txBox="1">
          <a:spLocks noChangeArrowheads="1"/>
        </xdr:cNvSpPr>
      </xdr:nvSpPr>
      <xdr:spPr bwMode="auto">
        <a:xfrm>
          <a:off x="23143094" y="187369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98</xdr:row>
      <xdr:rowOff>17145</xdr:rowOff>
    </xdr:from>
    <xdr:to>
      <xdr:col>60</xdr:col>
      <xdr:colOff>3694</xdr:colOff>
      <xdr:row>98</xdr:row>
      <xdr:rowOff>127635</xdr:rowOff>
    </xdr:to>
    <xdr:sp macro="" textlink="" fLocksText="0">
      <xdr:nvSpPr>
        <xdr:cNvPr id="149" name="Text Box 1395">
          <a:extLst>
            <a:ext uri="{FF2B5EF4-FFF2-40B4-BE49-F238E27FC236}">
              <a16:creationId xmlns:a16="http://schemas.microsoft.com/office/drawing/2014/main" xmlns="" id="{00000000-0008-0000-0400-000095000000}"/>
            </a:ext>
          </a:extLst>
        </xdr:cNvPr>
        <xdr:cNvSpPr txBox="1">
          <a:spLocks noChangeArrowheads="1"/>
        </xdr:cNvSpPr>
      </xdr:nvSpPr>
      <xdr:spPr bwMode="auto">
        <a:xfrm>
          <a:off x="23955894" y="183559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99</xdr:row>
      <xdr:rowOff>17145</xdr:rowOff>
    </xdr:from>
    <xdr:to>
      <xdr:col>60</xdr:col>
      <xdr:colOff>3694</xdr:colOff>
      <xdr:row>99</xdr:row>
      <xdr:rowOff>127635</xdr:rowOff>
    </xdr:to>
    <xdr:sp macro="" textlink="" fLocksText="0">
      <xdr:nvSpPr>
        <xdr:cNvPr id="150" name="Text Box 1395">
          <a:extLst>
            <a:ext uri="{FF2B5EF4-FFF2-40B4-BE49-F238E27FC236}">
              <a16:creationId xmlns:a16="http://schemas.microsoft.com/office/drawing/2014/main" xmlns="" id="{00000000-0008-0000-0400-000096000000}"/>
            </a:ext>
          </a:extLst>
        </xdr:cNvPr>
        <xdr:cNvSpPr txBox="1">
          <a:spLocks noChangeArrowheads="1"/>
        </xdr:cNvSpPr>
      </xdr:nvSpPr>
      <xdr:spPr bwMode="auto">
        <a:xfrm>
          <a:off x="23955894" y="18546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100</xdr:row>
      <xdr:rowOff>17145</xdr:rowOff>
    </xdr:from>
    <xdr:to>
      <xdr:col>60</xdr:col>
      <xdr:colOff>3694</xdr:colOff>
      <xdr:row>100</xdr:row>
      <xdr:rowOff>127635</xdr:rowOff>
    </xdr:to>
    <xdr:sp macro="" textlink="" fLocksText="0">
      <xdr:nvSpPr>
        <xdr:cNvPr id="151" name="Text Box 1395">
          <a:extLst>
            <a:ext uri="{FF2B5EF4-FFF2-40B4-BE49-F238E27FC236}">
              <a16:creationId xmlns:a16="http://schemas.microsoft.com/office/drawing/2014/main" xmlns="" id="{00000000-0008-0000-0400-000097000000}"/>
            </a:ext>
          </a:extLst>
        </xdr:cNvPr>
        <xdr:cNvSpPr txBox="1">
          <a:spLocks noChangeArrowheads="1"/>
        </xdr:cNvSpPr>
      </xdr:nvSpPr>
      <xdr:spPr bwMode="auto">
        <a:xfrm>
          <a:off x="23955894" y="187369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98</xdr:row>
      <xdr:rowOff>17145</xdr:rowOff>
    </xdr:from>
    <xdr:to>
      <xdr:col>60</xdr:col>
      <xdr:colOff>3694</xdr:colOff>
      <xdr:row>98</xdr:row>
      <xdr:rowOff>127635</xdr:rowOff>
    </xdr:to>
    <xdr:sp macro="" textlink="" fLocksText="0">
      <xdr:nvSpPr>
        <xdr:cNvPr id="154" name="Text Box 1395">
          <a:extLst>
            <a:ext uri="{FF2B5EF4-FFF2-40B4-BE49-F238E27FC236}">
              <a16:creationId xmlns:a16="http://schemas.microsoft.com/office/drawing/2014/main" xmlns="" id="{00000000-0008-0000-0400-00009A000000}"/>
            </a:ext>
          </a:extLst>
        </xdr:cNvPr>
        <xdr:cNvSpPr txBox="1">
          <a:spLocks noChangeArrowheads="1"/>
        </xdr:cNvSpPr>
      </xdr:nvSpPr>
      <xdr:spPr bwMode="auto">
        <a:xfrm>
          <a:off x="23955894" y="183559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99</xdr:row>
      <xdr:rowOff>17145</xdr:rowOff>
    </xdr:from>
    <xdr:to>
      <xdr:col>60</xdr:col>
      <xdr:colOff>3694</xdr:colOff>
      <xdr:row>99</xdr:row>
      <xdr:rowOff>127635</xdr:rowOff>
    </xdr:to>
    <xdr:sp macro="" textlink="" fLocksText="0">
      <xdr:nvSpPr>
        <xdr:cNvPr id="155" name="Text Box 1395">
          <a:extLst>
            <a:ext uri="{FF2B5EF4-FFF2-40B4-BE49-F238E27FC236}">
              <a16:creationId xmlns:a16="http://schemas.microsoft.com/office/drawing/2014/main" xmlns="" id="{00000000-0008-0000-0400-00009B000000}"/>
            </a:ext>
          </a:extLst>
        </xdr:cNvPr>
        <xdr:cNvSpPr txBox="1">
          <a:spLocks noChangeArrowheads="1"/>
        </xdr:cNvSpPr>
      </xdr:nvSpPr>
      <xdr:spPr bwMode="auto">
        <a:xfrm>
          <a:off x="23955894" y="18546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100</xdr:row>
      <xdr:rowOff>17145</xdr:rowOff>
    </xdr:from>
    <xdr:to>
      <xdr:col>60</xdr:col>
      <xdr:colOff>3694</xdr:colOff>
      <xdr:row>100</xdr:row>
      <xdr:rowOff>127635</xdr:rowOff>
    </xdr:to>
    <xdr:sp macro="" textlink="" fLocksText="0">
      <xdr:nvSpPr>
        <xdr:cNvPr id="156" name="Text Box 1395">
          <a:extLst>
            <a:ext uri="{FF2B5EF4-FFF2-40B4-BE49-F238E27FC236}">
              <a16:creationId xmlns:a16="http://schemas.microsoft.com/office/drawing/2014/main" xmlns="" id="{00000000-0008-0000-0400-00009C000000}"/>
            </a:ext>
          </a:extLst>
        </xdr:cNvPr>
        <xdr:cNvSpPr txBox="1">
          <a:spLocks noChangeArrowheads="1"/>
        </xdr:cNvSpPr>
      </xdr:nvSpPr>
      <xdr:spPr bwMode="auto">
        <a:xfrm>
          <a:off x="23955894" y="187369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98</xdr:row>
      <xdr:rowOff>17145</xdr:rowOff>
    </xdr:from>
    <xdr:to>
      <xdr:col>58</xdr:col>
      <xdr:colOff>3694</xdr:colOff>
      <xdr:row>98</xdr:row>
      <xdr:rowOff>127635</xdr:rowOff>
    </xdr:to>
    <xdr:sp macro="" textlink="" fLocksText="0">
      <xdr:nvSpPr>
        <xdr:cNvPr id="205" name="Text Box 1395">
          <a:extLst>
            <a:ext uri="{FF2B5EF4-FFF2-40B4-BE49-F238E27FC236}">
              <a16:creationId xmlns:a16="http://schemas.microsoft.com/office/drawing/2014/main" xmlns="" id="{00000000-0008-0000-0400-0000CD000000}"/>
            </a:ext>
          </a:extLst>
        </xdr:cNvPr>
        <xdr:cNvSpPr txBox="1">
          <a:spLocks noChangeArrowheads="1"/>
        </xdr:cNvSpPr>
      </xdr:nvSpPr>
      <xdr:spPr bwMode="auto">
        <a:xfrm>
          <a:off x="23143094" y="183559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99</xdr:row>
      <xdr:rowOff>17145</xdr:rowOff>
    </xdr:from>
    <xdr:to>
      <xdr:col>58</xdr:col>
      <xdr:colOff>3694</xdr:colOff>
      <xdr:row>99</xdr:row>
      <xdr:rowOff>127635</xdr:rowOff>
    </xdr:to>
    <xdr:sp macro="" textlink="" fLocksText="0">
      <xdr:nvSpPr>
        <xdr:cNvPr id="206" name="Text Box 1395">
          <a:extLst>
            <a:ext uri="{FF2B5EF4-FFF2-40B4-BE49-F238E27FC236}">
              <a16:creationId xmlns:a16="http://schemas.microsoft.com/office/drawing/2014/main" xmlns="" id="{00000000-0008-0000-0400-0000CE000000}"/>
            </a:ext>
          </a:extLst>
        </xdr:cNvPr>
        <xdr:cNvSpPr txBox="1">
          <a:spLocks noChangeArrowheads="1"/>
        </xdr:cNvSpPr>
      </xdr:nvSpPr>
      <xdr:spPr bwMode="auto">
        <a:xfrm>
          <a:off x="23143094" y="185464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100</xdr:row>
      <xdr:rowOff>17145</xdr:rowOff>
    </xdr:from>
    <xdr:to>
      <xdr:col>58</xdr:col>
      <xdr:colOff>3694</xdr:colOff>
      <xdr:row>100</xdr:row>
      <xdr:rowOff>127635</xdr:rowOff>
    </xdr:to>
    <xdr:sp macro="" textlink="" fLocksText="0">
      <xdr:nvSpPr>
        <xdr:cNvPr id="207" name="Text Box 1395">
          <a:extLst>
            <a:ext uri="{FF2B5EF4-FFF2-40B4-BE49-F238E27FC236}">
              <a16:creationId xmlns:a16="http://schemas.microsoft.com/office/drawing/2014/main" xmlns="" id="{00000000-0008-0000-0400-0000CF000000}"/>
            </a:ext>
          </a:extLst>
        </xdr:cNvPr>
        <xdr:cNvSpPr txBox="1">
          <a:spLocks noChangeArrowheads="1"/>
        </xdr:cNvSpPr>
      </xdr:nvSpPr>
      <xdr:spPr bwMode="auto">
        <a:xfrm>
          <a:off x="23143094" y="1873694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57</xdr:col>
      <xdr:colOff>3694</xdr:colOff>
      <xdr:row>29</xdr:row>
      <xdr:rowOff>17145</xdr:rowOff>
    </xdr:from>
    <xdr:to>
      <xdr:col>57</xdr:col>
      <xdr:colOff>3694</xdr:colOff>
      <xdr:row>29</xdr:row>
      <xdr:rowOff>127635</xdr:rowOff>
    </xdr:to>
    <xdr:sp macro="" textlink="" fLocksText="0">
      <xdr:nvSpPr>
        <xdr:cNvPr id="240" name="Text Box 1395">
          <a:extLst>
            <a:ext uri="{FF2B5EF4-FFF2-40B4-BE49-F238E27FC236}">
              <a16:creationId xmlns:a16="http://schemas.microsoft.com/office/drawing/2014/main" xmlns="" id="{00000000-0008-0000-0400-0000F0000000}"/>
            </a:ext>
          </a:extLst>
        </xdr:cNvPr>
        <xdr:cNvSpPr txBox="1">
          <a:spLocks noChangeArrowheads="1"/>
        </xdr:cNvSpPr>
      </xdr:nvSpPr>
      <xdr:spPr bwMode="auto">
        <a:xfrm>
          <a:off x="23098368" y="5235188"/>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57</xdr:col>
      <xdr:colOff>3694</xdr:colOff>
      <xdr:row>29</xdr:row>
      <xdr:rowOff>17145</xdr:rowOff>
    </xdr:from>
    <xdr:to>
      <xdr:col>57</xdr:col>
      <xdr:colOff>3694</xdr:colOff>
      <xdr:row>29</xdr:row>
      <xdr:rowOff>127635</xdr:rowOff>
    </xdr:to>
    <xdr:sp macro="" textlink="" fLocksText="0">
      <xdr:nvSpPr>
        <xdr:cNvPr id="241" name="Text Box 1395">
          <a:extLst>
            <a:ext uri="{FF2B5EF4-FFF2-40B4-BE49-F238E27FC236}">
              <a16:creationId xmlns:a16="http://schemas.microsoft.com/office/drawing/2014/main" xmlns="" id="{00000000-0008-0000-0400-0000F1000000}"/>
            </a:ext>
          </a:extLst>
        </xdr:cNvPr>
        <xdr:cNvSpPr txBox="1">
          <a:spLocks noChangeArrowheads="1"/>
        </xdr:cNvSpPr>
      </xdr:nvSpPr>
      <xdr:spPr bwMode="auto">
        <a:xfrm>
          <a:off x="23098368" y="5235188"/>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61</xdr:col>
      <xdr:colOff>0</xdr:colOff>
      <xdr:row>0</xdr:row>
      <xdr:rowOff>144097</xdr:rowOff>
    </xdr:from>
    <xdr:to>
      <xdr:col>61</xdr:col>
      <xdr:colOff>42337</xdr:colOff>
      <xdr:row>0</xdr:row>
      <xdr:rowOff>142116</xdr:rowOff>
    </xdr:to>
    <xdr:sp macro="" textlink="" fLocksText="0">
      <xdr:nvSpPr>
        <xdr:cNvPr id="242" name="Text Box 1404">
          <a:extLst>
            <a:ext uri="{FF2B5EF4-FFF2-40B4-BE49-F238E27FC236}">
              <a16:creationId xmlns:a16="http://schemas.microsoft.com/office/drawing/2014/main" xmlns="" id="{00000000-0008-0000-0400-0000F2000000}"/>
            </a:ext>
          </a:extLst>
        </xdr:cNvPr>
        <xdr:cNvSpPr txBox="1">
          <a:spLocks noChangeArrowheads="1"/>
        </xdr:cNvSpPr>
      </xdr:nvSpPr>
      <xdr:spPr bwMode="auto">
        <a:xfrm>
          <a:off x="24792609" y="1013771"/>
          <a:ext cx="42337" cy="163671"/>
        </a:xfrm>
        <a:prstGeom prst="rect">
          <a:avLst/>
        </a:prstGeom>
        <a:noFill/>
        <a:ln w="9525">
          <a:noFill/>
          <a:miter lim="800000"/>
          <a:headEnd/>
          <a:tailEnd/>
        </a:ln>
      </xdr:spPr>
      <xdr:txBody>
        <a:bodyPr vertOverflow="clip" wrap="square" lIns="0" tIns="0" rIns="0" bIns="0" anchor="t" upright="1"/>
        <a:lstStyle/>
        <a:p>
          <a:pPr algn="l" rtl="0">
            <a:defRPr sz="1000"/>
          </a:pPr>
          <a:endParaRPr lang="en-GB" sz="800" b="1" i="0" u="none" strike="noStrike" baseline="0">
            <a:solidFill>
              <a:srgbClr val="000000"/>
            </a:solidFill>
            <a:latin typeface="Times New Roman"/>
            <a:cs typeface="Times New Roman"/>
          </a:endParaRPr>
        </a:p>
      </xdr:txBody>
    </xdr:sp>
    <xdr:clientData/>
  </xdr:twoCellAnchor>
  <xdr:twoCellAnchor>
    <xdr:from>
      <xdr:col>60</xdr:col>
      <xdr:colOff>0</xdr:colOff>
      <xdr:row>2</xdr:row>
      <xdr:rowOff>144097</xdr:rowOff>
    </xdr:from>
    <xdr:to>
      <xdr:col>60</xdr:col>
      <xdr:colOff>42337</xdr:colOff>
      <xdr:row>3</xdr:row>
      <xdr:rowOff>142116</xdr:rowOff>
    </xdr:to>
    <xdr:sp macro="" textlink="" fLocksText="0">
      <xdr:nvSpPr>
        <xdr:cNvPr id="244" name="Text Box 1404">
          <a:extLst>
            <a:ext uri="{FF2B5EF4-FFF2-40B4-BE49-F238E27FC236}">
              <a16:creationId xmlns:a16="http://schemas.microsoft.com/office/drawing/2014/main" xmlns="" id="{00000000-0008-0000-0400-0000F4000000}"/>
            </a:ext>
          </a:extLst>
        </xdr:cNvPr>
        <xdr:cNvSpPr txBox="1">
          <a:spLocks noChangeArrowheads="1"/>
        </xdr:cNvSpPr>
      </xdr:nvSpPr>
      <xdr:spPr bwMode="auto">
        <a:xfrm>
          <a:off x="24792609" y="1013771"/>
          <a:ext cx="42337" cy="163671"/>
        </a:xfrm>
        <a:prstGeom prst="rect">
          <a:avLst/>
        </a:prstGeom>
        <a:noFill/>
        <a:ln w="9525">
          <a:noFill/>
          <a:miter lim="800000"/>
          <a:headEnd/>
          <a:tailEnd/>
        </a:ln>
      </xdr:spPr>
      <xdr:txBody>
        <a:bodyPr vertOverflow="clip" wrap="square" lIns="0" tIns="0" rIns="0" bIns="0" anchor="t" upright="1"/>
        <a:lstStyle/>
        <a:p>
          <a:pPr algn="l" rtl="0">
            <a:defRPr sz="1000"/>
          </a:pPr>
          <a:endParaRPr lang="en-GB" sz="800" b="1" i="0" u="none" strike="noStrike" baseline="0">
            <a:solidFill>
              <a:srgbClr val="000000"/>
            </a:solidFill>
            <a:latin typeface="Times New Roman"/>
            <a:cs typeface="Times New Roman"/>
          </a:endParaRPr>
        </a:p>
      </xdr:txBody>
    </xdr:sp>
    <xdr:clientData/>
  </xdr:twoCellAnchor>
  <xdr:twoCellAnchor>
    <xdr:from>
      <xdr:col>62</xdr:col>
      <xdr:colOff>0</xdr:colOff>
      <xdr:row>2</xdr:row>
      <xdr:rowOff>144097</xdr:rowOff>
    </xdr:from>
    <xdr:to>
      <xdr:col>62</xdr:col>
      <xdr:colOff>42337</xdr:colOff>
      <xdr:row>3</xdr:row>
      <xdr:rowOff>142116</xdr:rowOff>
    </xdr:to>
    <xdr:sp macro="" textlink="" fLocksText="0">
      <xdr:nvSpPr>
        <xdr:cNvPr id="245" name="Text Box 1404">
          <a:extLst>
            <a:ext uri="{FF2B5EF4-FFF2-40B4-BE49-F238E27FC236}">
              <a16:creationId xmlns:a16="http://schemas.microsoft.com/office/drawing/2014/main" xmlns="" id="{00000000-0008-0000-0400-0000F5000000}"/>
            </a:ext>
          </a:extLst>
        </xdr:cNvPr>
        <xdr:cNvSpPr txBox="1">
          <a:spLocks noChangeArrowheads="1"/>
        </xdr:cNvSpPr>
      </xdr:nvSpPr>
      <xdr:spPr bwMode="auto">
        <a:xfrm>
          <a:off x="24792609" y="1013771"/>
          <a:ext cx="42337" cy="163671"/>
        </a:xfrm>
        <a:prstGeom prst="rect">
          <a:avLst/>
        </a:prstGeom>
        <a:noFill/>
        <a:ln w="9525">
          <a:noFill/>
          <a:miter lim="800000"/>
          <a:headEnd/>
          <a:tailEnd/>
        </a:ln>
      </xdr:spPr>
      <xdr:txBody>
        <a:bodyPr vertOverflow="clip" wrap="square" lIns="0" tIns="0" rIns="0" bIns="0" anchor="t" upright="1"/>
        <a:lstStyle/>
        <a:p>
          <a:pPr algn="l" rtl="0">
            <a:defRPr sz="1000"/>
          </a:pPr>
          <a:endParaRPr lang="en-GB" sz="800" b="1" i="0" u="none" strike="noStrike" baseline="0">
            <a:solidFill>
              <a:srgbClr val="000000"/>
            </a:solidFill>
            <a:latin typeface="Times New Roman"/>
            <a:cs typeface="Times New Roman"/>
          </a:endParaRPr>
        </a:p>
      </xdr:txBody>
    </xdr:sp>
    <xdr:clientData/>
  </xdr:twoCellAnchor>
  <xdr:twoCellAnchor>
    <xdr:from>
      <xdr:col>59</xdr:col>
      <xdr:colOff>152400</xdr:colOff>
      <xdr:row>18</xdr:row>
      <xdr:rowOff>50800</xdr:rowOff>
    </xdr:from>
    <xdr:to>
      <xdr:col>60</xdr:col>
      <xdr:colOff>508000</xdr:colOff>
      <xdr:row>22</xdr:row>
      <xdr:rowOff>25400</xdr:rowOff>
    </xdr:to>
    <xdr:sp macro="" textlink="" fLocksText="0">
      <xdr:nvSpPr>
        <xdr:cNvPr id="246" name="Text Box 1404">
          <a:extLst>
            <a:ext uri="{FF2B5EF4-FFF2-40B4-BE49-F238E27FC236}">
              <a16:creationId xmlns:a16="http://schemas.microsoft.com/office/drawing/2014/main" xmlns="" id="{00000000-0008-0000-0400-0000F6000000}"/>
            </a:ext>
          </a:extLst>
        </xdr:cNvPr>
        <xdr:cNvSpPr txBox="1">
          <a:spLocks noChangeArrowheads="1"/>
        </xdr:cNvSpPr>
      </xdr:nvSpPr>
      <xdr:spPr bwMode="auto">
        <a:xfrm>
          <a:off x="26771600" y="3340100"/>
          <a:ext cx="990600" cy="685800"/>
        </a:xfrm>
        <a:prstGeom prst="rect">
          <a:avLst/>
        </a:prstGeom>
        <a:noFill/>
        <a:ln w="9525">
          <a:noFill/>
          <a:miter lim="800000"/>
          <a:headEnd/>
          <a:tailEnd/>
        </a:ln>
      </xdr:spPr>
      <xdr:txBody>
        <a:bodyPr vertOverflow="clip" wrap="square" lIns="0" tIns="0" rIns="0" bIns="0" anchor="t" upright="1"/>
        <a:lstStyle/>
        <a:p>
          <a:r>
            <a:rPr lang="en-GB" sz="1500" b="1" i="0" u="sng">
              <a:solidFill>
                <a:srgbClr val="FF0000"/>
              </a:solidFill>
              <a:latin typeface="Times New Roman" pitchFamily="18" charset="0"/>
              <a:ea typeface="+mn-ea"/>
              <a:cs typeface="Times New Roman" pitchFamily="18" charset="0"/>
            </a:rPr>
            <a:t>Bitterness </a:t>
          </a:r>
        </a:p>
        <a:p>
          <a:r>
            <a:rPr lang="en-GB" sz="1500" b="1" i="0" u="sng">
              <a:solidFill>
                <a:srgbClr val="FF0000"/>
              </a:solidFill>
              <a:latin typeface="Times New Roman" pitchFamily="18" charset="0"/>
              <a:ea typeface="+mn-ea"/>
              <a:cs typeface="Times New Roman" pitchFamily="18" charset="0"/>
            </a:rPr>
            <a:t>v's</a:t>
          </a:r>
        </a:p>
        <a:p>
          <a:r>
            <a:rPr lang="en-GB" sz="1500" b="1" i="0" u="sng">
              <a:solidFill>
                <a:srgbClr val="FF0000"/>
              </a:solidFill>
              <a:latin typeface="Times New Roman" pitchFamily="18" charset="0"/>
              <a:ea typeface="+mn-ea"/>
              <a:cs typeface="Times New Roman" pitchFamily="18" charset="0"/>
            </a:rPr>
            <a:t>Gravity</a:t>
          </a:r>
          <a:endParaRPr lang="en-GB" sz="1500">
            <a:solidFill>
              <a:srgbClr val="FF0000"/>
            </a:solidFill>
            <a:latin typeface="Times New Roman" pitchFamily="18" charset="0"/>
            <a:cs typeface="Times New Roman" pitchFamily="18" charset="0"/>
          </a:endParaRPr>
        </a:p>
      </xdr:txBody>
    </xdr:sp>
    <xdr:clientData/>
  </xdr:twoCellAnchor>
  <xdr:twoCellAnchor>
    <xdr:from>
      <xdr:col>60</xdr:col>
      <xdr:colOff>0</xdr:colOff>
      <xdr:row>2</xdr:row>
      <xdr:rowOff>144097</xdr:rowOff>
    </xdr:from>
    <xdr:to>
      <xdr:col>60</xdr:col>
      <xdr:colOff>42337</xdr:colOff>
      <xdr:row>3</xdr:row>
      <xdr:rowOff>142116</xdr:rowOff>
    </xdr:to>
    <xdr:sp macro="" textlink="" fLocksText="0">
      <xdr:nvSpPr>
        <xdr:cNvPr id="247" name="Text Box 1404">
          <a:extLst>
            <a:ext uri="{FF2B5EF4-FFF2-40B4-BE49-F238E27FC236}">
              <a16:creationId xmlns:a16="http://schemas.microsoft.com/office/drawing/2014/main" xmlns="" id="{00000000-0008-0000-0400-0000F7000000}"/>
            </a:ext>
          </a:extLst>
        </xdr:cNvPr>
        <xdr:cNvSpPr txBox="1">
          <a:spLocks noChangeArrowheads="1"/>
        </xdr:cNvSpPr>
      </xdr:nvSpPr>
      <xdr:spPr bwMode="auto">
        <a:xfrm>
          <a:off x="19913600" y="512397"/>
          <a:ext cx="42337" cy="175819"/>
        </a:xfrm>
        <a:prstGeom prst="rect">
          <a:avLst/>
        </a:prstGeom>
        <a:noFill/>
        <a:ln w="9525">
          <a:noFill/>
          <a:miter lim="800000"/>
          <a:headEnd/>
          <a:tailEnd/>
        </a:ln>
      </xdr:spPr>
      <xdr:txBody>
        <a:bodyPr vertOverflow="clip" wrap="square" lIns="0" tIns="0" rIns="0" bIns="0" anchor="t" upright="1"/>
        <a:lstStyle/>
        <a:p>
          <a:pPr algn="l" rtl="0">
            <a:defRPr sz="1000"/>
          </a:pPr>
          <a:endParaRPr lang="en-GB" sz="800" b="1" i="0" u="none" strike="noStrike" baseline="0">
            <a:solidFill>
              <a:srgbClr val="000000"/>
            </a:solidFill>
            <a:latin typeface="Times New Roman"/>
            <a:cs typeface="Times New Roman"/>
          </a:endParaRPr>
        </a:p>
      </xdr:txBody>
    </xdr:sp>
    <xdr:clientData/>
  </xdr:twoCellAnchor>
  <xdr:twoCellAnchor editAs="oneCell">
    <xdr:from>
      <xdr:col>17</xdr:col>
      <xdr:colOff>30501</xdr:colOff>
      <xdr:row>78</xdr:row>
      <xdr:rowOff>1137</xdr:rowOff>
    </xdr:from>
    <xdr:to>
      <xdr:col>18</xdr:col>
      <xdr:colOff>559687</xdr:colOff>
      <xdr:row>83</xdr:row>
      <xdr:rowOff>191258</xdr:rowOff>
    </xdr:to>
    <xdr:pic>
      <xdr:nvPicPr>
        <xdr:cNvPr id="243" name="Picture 242" descr="81qtkiTP5NL._SX466_.png">
          <a:extLst>
            <a:ext uri="{FF2B5EF4-FFF2-40B4-BE49-F238E27FC236}">
              <a16:creationId xmlns:a16="http://schemas.microsoft.com/office/drawing/2014/main" xmlns="" id="{00000000-0008-0000-0400-00000C000000}"/>
            </a:ext>
          </a:extLst>
        </xdr:cNvPr>
        <xdr:cNvPicPr>
          <a:picLocks noChangeAspect="1"/>
        </xdr:cNvPicPr>
      </xdr:nvPicPr>
      <xdr:blipFill>
        <a:blip xmlns:r="http://schemas.openxmlformats.org/officeDocument/2006/relationships" r:embed="rId10" cstate="print"/>
        <a:stretch>
          <a:fillRect/>
        </a:stretch>
      </xdr:blipFill>
      <xdr:spPr>
        <a:xfrm>
          <a:off x="14469007" y="14346716"/>
          <a:ext cx="1249369" cy="1197448"/>
        </a:xfrm>
        <a:prstGeom prst="rect">
          <a:avLst/>
        </a:prstGeom>
      </xdr:spPr>
    </xdr:pic>
    <xdr:clientData/>
  </xdr:twoCellAnchor>
  <xdr:twoCellAnchor>
    <xdr:from>
      <xdr:col>19</xdr:col>
      <xdr:colOff>32928</xdr:colOff>
      <xdr:row>77</xdr:row>
      <xdr:rowOff>139700</xdr:rowOff>
    </xdr:from>
    <xdr:to>
      <xdr:col>25</xdr:col>
      <xdr:colOff>114300</xdr:colOff>
      <xdr:row>92</xdr:row>
      <xdr:rowOff>63500</xdr:rowOff>
    </xdr:to>
    <xdr:pic>
      <xdr:nvPicPr>
        <xdr:cNvPr id="248" name="Picture 1016">
          <a:extLst>
            <a:ext uri="{FF2B5EF4-FFF2-40B4-BE49-F238E27FC236}">
              <a16:creationId xmlns:a16="http://schemas.microsoft.com/office/drawing/2014/main" xmlns="" id="{00000000-0008-0000-0300-000003000000}"/>
            </a:ext>
          </a:extLst>
        </xdr:cNvPr>
        <xdr:cNvPicPr>
          <a:picLocks noRot="1" noChangeAspect="1" noChangeArrowheads="1"/>
        </xdr:cNvPicPr>
      </xdr:nvPicPr>
      <xdr:blipFill>
        <a:blip xmlns:r="http://schemas.openxmlformats.org/officeDocument/2006/relationships" r:embed="rId11" cstate="screen"/>
        <a:srcRect/>
        <a:stretch>
          <a:fillRect/>
        </a:stretch>
      </xdr:blipFill>
      <xdr:spPr bwMode="auto">
        <a:xfrm>
          <a:off x="15806328" y="14605000"/>
          <a:ext cx="4348572" cy="3124200"/>
        </a:xfrm>
        <a:prstGeom prst="rect">
          <a:avLst/>
        </a:prstGeom>
        <a:noFill/>
        <a:ln w="9525">
          <a:noFill/>
          <a:miter lim="800000"/>
          <a:headEnd/>
          <a:tailEnd/>
        </a:ln>
      </xdr:spPr>
    </xdr:pic>
    <xdr:clientData/>
  </xdr:twoCellAnchor>
  <xdr:twoCellAnchor>
    <xdr:from>
      <xdr:col>60</xdr:col>
      <xdr:colOff>3694</xdr:colOff>
      <xdr:row>96</xdr:row>
      <xdr:rowOff>17145</xdr:rowOff>
    </xdr:from>
    <xdr:to>
      <xdr:col>60</xdr:col>
      <xdr:colOff>3694</xdr:colOff>
      <xdr:row>96</xdr:row>
      <xdr:rowOff>127635</xdr:rowOff>
    </xdr:to>
    <xdr:sp macro="" textlink="" fLocksText="0">
      <xdr:nvSpPr>
        <xdr:cNvPr id="250" name="Text Box 1395">
          <a:extLst>
            <a:ext uri="{FF2B5EF4-FFF2-40B4-BE49-F238E27FC236}">
              <a16:creationId xmlns:a16="http://schemas.microsoft.com/office/drawing/2014/main" xmlns="" id="{00000000-0008-0000-0400-00007A000000}"/>
            </a:ext>
          </a:extLst>
        </xdr:cNvPr>
        <xdr:cNvSpPr txBox="1">
          <a:spLocks noChangeArrowheads="1"/>
        </xdr:cNvSpPr>
      </xdr:nvSpPr>
      <xdr:spPr bwMode="auto">
        <a:xfrm>
          <a:off x="25940269" y="183241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97</xdr:row>
      <xdr:rowOff>17145</xdr:rowOff>
    </xdr:from>
    <xdr:to>
      <xdr:col>60</xdr:col>
      <xdr:colOff>3694</xdr:colOff>
      <xdr:row>97</xdr:row>
      <xdr:rowOff>127635</xdr:rowOff>
    </xdr:to>
    <xdr:sp macro="" textlink="" fLocksText="0">
      <xdr:nvSpPr>
        <xdr:cNvPr id="251" name="Text Box 1395">
          <a:extLst>
            <a:ext uri="{FF2B5EF4-FFF2-40B4-BE49-F238E27FC236}">
              <a16:creationId xmlns:a16="http://schemas.microsoft.com/office/drawing/2014/main" xmlns="" id="{00000000-0008-0000-0400-000080000000}"/>
            </a:ext>
          </a:extLst>
        </xdr:cNvPr>
        <xdr:cNvSpPr txBox="1">
          <a:spLocks noChangeArrowheads="1"/>
        </xdr:cNvSpPr>
      </xdr:nvSpPr>
      <xdr:spPr bwMode="auto">
        <a:xfrm>
          <a:off x="25940269" y="185146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98</xdr:row>
      <xdr:rowOff>17145</xdr:rowOff>
    </xdr:from>
    <xdr:to>
      <xdr:col>60</xdr:col>
      <xdr:colOff>3694</xdr:colOff>
      <xdr:row>98</xdr:row>
      <xdr:rowOff>127635</xdr:rowOff>
    </xdr:to>
    <xdr:sp macro="" textlink="" fLocksText="0">
      <xdr:nvSpPr>
        <xdr:cNvPr id="252" name="Text Box 1395">
          <a:extLst>
            <a:ext uri="{FF2B5EF4-FFF2-40B4-BE49-F238E27FC236}">
              <a16:creationId xmlns:a16="http://schemas.microsoft.com/office/drawing/2014/main" xmlns="" id="{00000000-0008-0000-0400-000081000000}"/>
            </a:ext>
          </a:extLst>
        </xdr:cNvPr>
        <xdr:cNvSpPr txBox="1">
          <a:spLocks noChangeArrowheads="1"/>
        </xdr:cNvSpPr>
      </xdr:nvSpPr>
      <xdr:spPr bwMode="auto">
        <a:xfrm>
          <a:off x="25940269" y="187051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99</xdr:row>
      <xdr:rowOff>17145</xdr:rowOff>
    </xdr:from>
    <xdr:to>
      <xdr:col>60</xdr:col>
      <xdr:colOff>3694</xdr:colOff>
      <xdr:row>99</xdr:row>
      <xdr:rowOff>127635</xdr:rowOff>
    </xdr:to>
    <xdr:sp macro="" textlink="" fLocksText="0">
      <xdr:nvSpPr>
        <xdr:cNvPr id="253" name="Text Box 1395">
          <a:extLst>
            <a:ext uri="{FF2B5EF4-FFF2-40B4-BE49-F238E27FC236}">
              <a16:creationId xmlns:a16="http://schemas.microsoft.com/office/drawing/2014/main" xmlns="" id="{00000000-0008-0000-0400-000082000000}"/>
            </a:ext>
          </a:extLst>
        </xdr:cNvPr>
        <xdr:cNvSpPr txBox="1">
          <a:spLocks noChangeArrowheads="1"/>
        </xdr:cNvSpPr>
      </xdr:nvSpPr>
      <xdr:spPr bwMode="auto">
        <a:xfrm>
          <a:off x="25940269" y="188956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100</xdr:row>
      <xdr:rowOff>17145</xdr:rowOff>
    </xdr:from>
    <xdr:to>
      <xdr:col>60</xdr:col>
      <xdr:colOff>3694</xdr:colOff>
      <xdr:row>100</xdr:row>
      <xdr:rowOff>127635</xdr:rowOff>
    </xdr:to>
    <xdr:sp macro="" textlink="" fLocksText="0">
      <xdr:nvSpPr>
        <xdr:cNvPr id="254" name="Text Box 1395">
          <a:extLst>
            <a:ext uri="{FF2B5EF4-FFF2-40B4-BE49-F238E27FC236}">
              <a16:creationId xmlns:a16="http://schemas.microsoft.com/office/drawing/2014/main" xmlns="" id="{00000000-0008-0000-0400-000083000000}"/>
            </a:ext>
          </a:extLst>
        </xdr:cNvPr>
        <xdr:cNvSpPr txBox="1">
          <a:spLocks noChangeArrowheads="1"/>
        </xdr:cNvSpPr>
      </xdr:nvSpPr>
      <xdr:spPr bwMode="auto">
        <a:xfrm>
          <a:off x="25940269" y="190861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96</xdr:row>
      <xdr:rowOff>17145</xdr:rowOff>
    </xdr:from>
    <xdr:to>
      <xdr:col>60</xdr:col>
      <xdr:colOff>3694</xdr:colOff>
      <xdr:row>96</xdr:row>
      <xdr:rowOff>127635</xdr:rowOff>
    </xdr:to>
    <xdr:sp macro="" textlink="" fLocksText="0">
      <xdr:nvSpPr>
        <xdr:cNvPr id="255" name="Text Box 1395">
          <a:extLst>
            <a:ext uri="{FF2B5EF4-FFF2-40B4-BE49-F238E27FC236}">
              <a16:creationId xmlns:a16="http://schemas.microsoft.com/office/drawing/2014/main" xmlns="" id="{00000000-0008-0000-0400-000084000000}"/>
            </a:ext>
          </a:extLst>
        </xdr:cNvPr>
        <xdr:cNvSpPr txBox="1">
          <a:spLocks noChangeArrowheads="1"/>
        </xdr:cNvSpPr>
      </xdr:nvSpPr>
      <xdr:spPr bwMode="auto">
        <a:xfrm>
          <a:off x="25940269" y="183241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97</xdr:row>
      <xdr:rowOff>17145</xdr:rowOff>
    </xdr:from>
    <xdr:to>
      <xdr:col>60</xdr:col>
      <xdr:colOff>3694</xdr:colOff>
      <xdr:row>97</xdr:row>
      <xdr:rowOff>127635</xdr:rowOff>
    </xdr:to>
    <xdr:sp macro="" textlink="" fLocksText="0">
      <xdr:nvSpPr>
        <xdr:cNvPr id="256" name="Text Box 1395">
          <a:extLst>
            <a:ext uri="{FF2B5EF4-FFF2-40B4-BE49-F238E27FC236}">
              <a16:creationId xmlns:a16="http://schemas.microsoft.com/office/drawing/2014/main" xmlns="" id="{00000000-0008-0000-0400-000085000000}"/>
            </a:ext>
          </a:extLst>
        </xdr:cNvPr>
        <xdr:cNvSpPr txBox="1">
          <a:spLocks noChangeArrowheads="1"/>
        </xdr:cNvSpPr>
      </xdr:nvSpPr>
      <xdr:spPr bwMode="auto">
        <a:xfrm>
          <a:off x="25940269" y="185146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98</xdr:row>
      <xdr:rowOff>17145</xdr:rowOff>
    </xdr:from>
    <xdr:to>
      <xdr:col>60</xdr:col>
      <xdr:colOff>3694</xdr:colOff>
      <xdr:row>98</xdr:row>
      <xdr:rowOff>127635</xdr:rowOff>
    </xdr:to>
    <xdr:sp macro="" textlink="" fLocksText="0">
      <xdr:nvSpPr>
        <xdr:cNvPr id="257" name="Text Box 1395">
          <a:extLst>
            <a:ext uri="{FF2B5EF4-FFF2-40B4-BE49-F238E27FC236}">
              <a16:creationId xmlns:a16="http://schemas.microsoft.com/office/drawing/2014/main" xmlns="" id="{00000000-0008-0000-0400-000086000000}"/>
            </a:ext>
          </a:extLst>
        </xdr:cNvPr>
        <xdr:cNvSpPr txBox="1">
          <a:spLocks noChangeArrowheads="1"/>
        </xdr:cNvSpPr>
      </xdr:nvSpPr>
      <xdr:spPr bwMode="auto">
        <a:xfrm>
          <a:off x="25940269" y="187051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99</xdr:row>
      <xdr:rowOff>17145</xdr:rowOff>
    </xdr:from>
    <xdr:to>
      <xdr:col>60</xdr:col>
      <xdr:colOff>3694</xdr:colOff>
      <xdr:row>99</xdr:row>
      <xdr:rowOff>127635</xdr:rowOff>
    </xdr:to>
    <xdr:sp macro="" textlink="" fLocksText="0">
      <xdr:nvSpPr>
        <xdr:cNvPr id="258" name="Text Box 1395">
          <a:extLst>
            <a:ext uri="{FF2B5EF4-FFF2-40B4-BE49-F238E27FC236}">
              <a16:creationId xmlns:a16="http://schemas.microsoft.com/office/drawing/2014/main" xmlns="" id="{00000000-0008-0000-0400-000087000000}"/>
            </a:ext>
          </a:extLst>
        </xdr:cNvPr>
        <xdr:cNvSpPr txBox="1">
          <a:spLocks noChangeArrowheads="1"/>
        </xdr:cNvSpPr>
      </xdr:nvSpPr>
      <xdr:spPr bwMode="auto">
        <a:xfrm>
          <a:off x="25940269" y="188956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100</xdr:row>
      <xdr:rowOff>17145</xdr:rowOff>
    </xdr:from>
    <xdr:to>
      <xdr:col>60</xdr:col>
      <xdr:colOff>3694</xdr:colOff>
      <xdr:row>100</xdr:row>
      <xdr:rowOff>127635</xdr:rowOff>
    </xdr:to>
    <xdr:sp macro="" textlink="" fLocksText="0">
      <xdr:nvSpPr>
        <xdr:cNvPr id="259" name="Text Box 1395">
          <a:extLst>
            <a:ext uri="{FF2B5EF4-FFF2-40B4-BE49-F238E27FC236}">
              <a16:creationId xmlns:a16="http://schemas.microsoft.com/office/drawing/2014/main" xmlns="" id="{00000000-0008-0000-0400-000088000000}"/>
            </a:ext>
          </a:extLst>
        </xdr:cNvPr>
        <xdr:cNvSpPr txBox="1">
          <a:spLocks noChangeArrowheads="1"/>
        </xdr:cNvSpPr>
      </xdr:nvSpPr>
      <xdr:spPr bwMode="auto">
        <a:xfrm>
          <a:off x="25940269" y="190861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95</xdr:row>
      <xdr:rowOff>17145</xdr:rowOff>
    </xdr:from>
    <xdr:to>
      <xdr:col>58</xdr:col>
      <xdr:colOff>3694</xdr:colOff>
      <xdr:row>95</xdr:row>
      <xdr:rowOff>127635</xdr:rowOff>
    </xdr:to>
    <xdr:sp macro="" textlink="" fLocksText="0">
      <xdr:nvSpPr>
        <xdr:cNvPr id="260" name="Text Box 1395">
          <a:extLst>
            <a:ext uri="{FF2B5EF4-FFF2-40B4-BE49-F238E27FC236}">
              <a16:creationId xmlns:a16="http://schemas.microsoft.com/office/drawing/2014/main" xmlns="" id="{00000000-0008-0000-0400-000089000000}"/>
            </a:ext>
          </a:extLst>
        </xdr:cNvPr>
        <xdr:cNvSpPr txBox="1">
          <a:spLocks noChangeArrowheads="1"/>
        </xdr:cNvSpPr>
      </xdr:nvSpPr>
      <xdr:spPr bwMode="auto">
        <a:xfrm>
          <a:off x="25063969" y="181336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96</xdr:row>
      <xdr:rowOff>17145</xdr:rowOff>
    </xdr:from>
    <xdr:to>
      <xdr:col>58</xdr:col>
      <xdr:colOff>3694</xdr:colOff>
      <xdr:row>96</xdr:row>
      <xdr:rowOff>127635</xdr:rowOff>
    </xdr:to>
    <xdr:sp macro="" textlink="" fLocksText="0">
      <xdr:nvSpPr>
        <xdr:cNvPr id="261" name="Text Box 1395">
          <a:extLst>
            <a:ext uri="{FF2B5EF4-FFF2-40B4-BE49-F238E27FC236}">
              <a16:creationId xmlns:a16="http://schemas.microsoft.com/office/drawing/2014/main" xmlns="" id="{00000000-0008-0000-0400-00008A000000}"/>
            </a:ext>
          </a:extLst>
        </xdr:cNvPr>
        <xdr:cNvSpPr txBox="1">
          <a:spLocks noChangeArrowheads="1"/>
        </xdr:cNvSpPr>
      </xdr:nvSpPr>
      <xdr:spPr bwMode="auto">
        <a:xfrm>
          <a:off x="25063969" y="183241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97</xdr:row>
      <xdr:rowOff>17145</xdr:rowOff>
    </xdr:from>
    <xdr:to>
      <xdr:col>58</xdr:col>
      <xdr:colOff>3694</xdr:colOff>
      <xdr:row>97</xdr:row>
      <xdr:rowOff>127635</xdr:rowOff>
    </xdr:to>
    <xdr:sp macro="" textlink="" fLocksText="0">
      <xdr:nvSpPr>
        <xdr:cNvPr id="262" name="Text Box 1395">
          <a:extLst>
            <a:ext uri="{FF2B5EF4-FFF2-40B4-BE49-F238E27FC236}">
              <a16:creationId xmlns:a16="http://schemas.microsoft.com/office/drawing/2014/main" xmlns="" id="{00000000-0008-0000-0400-00008B000000}"/>
            </a:ext>
          </a:extLst>
        </xdr:cNvPr>
        <xdr:cNvSpPr txBox="1">
          <a:spLocks noChangeArrowheads="1"/>
        </xdr:cNvSpPr>
      </xdr:nvSpPr>
      <xdr:spPr bwMode="auto">
        <a:xfrm>
          <a:off x="25063969" y="185146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98</xdr:row>
      <xdr:rowOff>17145</xdr:rowOff>
    </xdr:from>
    <xdr:to>
      <xdr:col>58</xdr:col>
      <xdr:colOff>3694</xdr:colOff>
      <xdr:row>98</xdr:row>
      <xdr:rowOff>127635</xdr:rowOff>
    </xdr:to>
    <xdr:sp macro="" textlink="" fLocksText="0">
      <xdr:nvSpPr>
        <xdr:cNvPr id="263" name="Text Box 1395">
          <a:extLst>
            <a:ext uri="{FF2B5EF4-FFF2-40B4-BE49-F238E27FC236}">
              <a16:creationId xmlns:a16="http://schemas.microsoft.com/office/drawing/2014/main" xmlns="" id="{00000000-0008-0000-0400-00008C000000}"/>
            </a:ext>
          </a:extLst>
        </xdr:cNvPr>
        <xdr:cNvSpPr txBox="1">
          <a:spLocks noChangeArrowheads="1"/>
        </xdr:cNvSpPr>
      </xdr:nvSpPr>
      <xdr:spPr bwMode="auto">
        <a:xfrm>
          <a:off x="25063969" y="187051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99</xdr:row>
      <xdr:rowOff>17145</xdr:rowOff>
    </xdr:from>
    <xdr:to>
      <xdr:col>58</xdr:col>
      <xdr:colOff>3694</xdr:colOff>
      <xdr:row>99</xdr:row>
      <xdr:rowOff>127635</xdr:rowOff>
    </xdr:to>
    <xdr:sp macro="" textlink="" fLocksText="0">
      <xdr:nvSpPr>
        <xdr:cNvPr id="264" name="Text Box 1395">
          <a:extLst>
            <a:ext uri="{FF2B5EF4-FFF2-40B4-BE49-F238E27FC236}">
              <a16:creationId xmlns:a16="http://schemas.microsoft.com/office/drawing/2014/main" xmlns="" id="{00000000-0008-0000-0400-00008D000000}"/>
            </a:ext>
          </a:extLst>
        </xdr:cNvPr>
        <xdr:cNvSpPr txBox="1">
          <a:spLocks noChangeArrowheads="1"/>
        </xdr:cNvSpPr>
      </xdr:nvSpPr>
      <xdr:spPr bwMode="auto">
        <a:xfrm>
          <a:off x="25063969" y="188956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100</xdr:row>
      <xdr:rowOff>17145</xdr:rowOff>
    </xdr:from>
    <xdr:to>
      <xdr:col>58</xdr:col>
      <xdr:colOff>3694</xdr:colOff>
      <xdr:row>100</xdr:row>
      <xdr:rowOff>127635</xdr:rowOff>
    </xdr:to>
    <xdr:sp macro="" textlink="" fLocksText="0">
      <xdr:nvSpPr>
        <xdr:cNvPr id="265" name="Text Box 1395">
          <a:extLst>
            <a:ext uri="{FF2B5EF4-FFF2-40B4-BE49-F238E27FC236}">
              <a16:creationId xmlns:a16="http://schemas.microsoft.com/office/drawing/2014/main" xmlns="" id="{00000000-0008-0000-0400-00008E000000}"/>
            </a:ext>
          </a:extLst>
        </xdr:cNvPr>
        <xdr:cNvSpPr txBox="1">
          <a:spLocks noChangeArrowheads="1"/>
        </xdr:cNvSpPr>
      </xdr:nvSpPr>
      <xdr:spPr bwMode="auto">
        <a:xfrm>
          <a:off x="25063969" y="190861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96</xdr:row>
      <xdr:rowOff>17145</xdr:rowOff>
    </xdr:from>
    <xdr:to>
      <xdr:col>58</xdr:col>
      <xdr:colOff>3694</xdr:colOff>
      <xdr:row>96</xdr:row>
      <xdr:rowOff>127635</xdr:rowOff>
    </xdr:to>
    <xdr:sp macro="" textlink="" fLocksText="0">
      <xdr:nvSpPr>
        <xdr:cNvPr id="266" name="Text Box 1395">
          <a:extLst>
            <a:ext uri="{FF2B5EF4-FFF2-40B4-BE49-F238E27FC236}">
              <a16:creationId xmlns:a16="http://schemas.microsoft.com/office/drawing/2014/main" xmlns="" id="{00000000-0008-0000-0400-00008F000000}"/>
            </a:ext>
          </a:extLst>
        </xdr:cNvPr>
        <xdr:cNvSpPr txBox="1">
          <a:spLocks noChangeArrowheads="1"/>
        </xdr:cNvSpPr>
      </xdr:nvSpPr>
      <xdr:spPr bwMode="auto">
        <a:xfrm>
          <a:off x="25063969" y="183241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97</xdr:row>
      <xdr:rowOff>17145</xdr:rowOff>
    </xdr:from>
    <xdr:to>
      <xdr:col>58</xdr:col>
      <xdr:colOff>3694</xdr:colOff>
      <xdr:row>97</xdr:row>
      <xdr:rowOff>127635</xdr:rowOff>
    </xdr:to>
    <xdr:sp macro="" textlink="" fLocksText="0">
      <xdr:nvSpPr>
        <xdr:cNvPr id="267" name="Text Box 1395">
          <a:extLst>
            <a:ext uri="{FF2B5EF4-FFF2-40B4-BE49-F238E27FC236}">
              <a16:creationId xmlns:a16="http://schemas.microsoft.com/office/drawing/2014/main" xmlns="" id="{00000000-0008-0000-0400-000090000000}"/>
            </a:ext>
          </a:extLst>
        </xdr:cNvPr>
        <xdr:cNvSpPr txBox="1">
          <a:spLocks noChangeArrowheads="1"/>
        </xdr:cNvSpPr>
      </xdr:nvSpPr>
      <xdr:spPr bwMode="auto">
        <a:xfrm>
          <a:off x="25063969" y="185146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98</xdr:row>
      <xdr:rowOff>17145</xdr:rowOff>
    </xdr:from>
    <xdr:to>
      <xdr:col>58</xdr:col>
      <xdr:colOff>3694</xdr:colOff>
      <xdr:row>98</xdr:row>
      <xdr:rowOff>127635</xdr:rowOff>
    </xdr:to>
    <xdr:sp macro="" textlink="" fLocksText="0">
      <xdr:nvSpPr>
        <xdr:cNvPr id="268" name="Text Box 1395">
          <a:extLst>
            <a:ext uri="{FF2B5EF4-FFF2-40B4-BE49-F238E27FC236}">
              <a16:creationId xmlns:a16="http://schemas.microsoft.com/office/drawing/2014/main" xmlns="" id="{00000000-0008-0000-0400-000091000000}"/>
            </a:ext>
          </a:extLst>
        </xdr:cNvPr>
        <xdr:cNvSpPr txBox="1">
          <a:spLocks noChangeArrowheads="1"/>
        </xdr:cNvSpPr>
      </xdr:nvSpPr>
      <xdr:spPr bwMode="auto">
        <a:xfrm>
          <a:off x="25063969" y="187051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99</xdr:row>
      <xdr:rowOff>17145</xdr:rowOff>
    </xdr:from>
    <xdr:to>
      <xdr:col>58</xdr:col>
      <xdr:colOff>3694</xdr:colOff>
      <xdr:row>99</xdr:row>
      <xdr:rowOff>127635</xdr:rowOff>
    </xdr:to>
    <xdr:sp macro="" textlink="" fLocksText="0">
      <xdr:nvSpPr>
        <xdr:cNvPr id="269" name="Text Box 1395">
          <a:extLst>
            <a:ext uri="{FF2B5EF4-FFF2-40B4-BE49-F238E27FC236}">
              <a16:creationId xmlns:a16="http://schemas.microsoft.com/office/drawing/2014/main" xmlns="" id="{00000000-0008-0000-0400-000092000000}"/>
            </a:ext>
          </a:extLst>
        </xdr:cNvPr>
        <xdr:cNvSpPr txBox="1">
          <a:spLocks noChangeArrowheads="1"/>
        </xdr:cNvSpPr>
      </xdr:nvSpPr>
      <xdr:spPr bwMode="auto">
        <a:xfrm>
          <a:off x="25063969" y="188956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100</xdr:row>
      <xdr:rowOff>17145</xdr:rowOff>
    </xdr:from>
    <xdr:to>
      <xdr:col>58</xdr:col>
      <xdr:colOff>3694</xdr:colOff>
      <xdr:row>100</xdr:row>
      <xdr:rowOff>127635</xdr:rowOff>
    </xdr:to>
    <xdr:sp macro="" textlink="" fLocksText="0">
      <xdr:nvSpPr>
        <xdr:cNvPr id="270" name="Text Box 1395">
          <a:extLst>
            <a:ext uri="{FF2B5EF4-FFF2-40B4-BE49-F238E27FC236}">
              <a16:creationId xmlns:a16="http://schemas.microsoft.com/office/drawing/2014/main" xmlns="" id="{00000000-0008-0000-0400-000093000000}"/>
            </a:ext>
          </a:extLst>
        </xdr:cNvPr>
        <xdr:cNvSpPr txBox="1">
          <a:spLocks noChangeArrowheads="1"/>
        </xdr:cNvSpPr>
      </xdr:nvSpPr>
      <xdr:spPr bwMode="auto">
        <a:xfrm>
          <a:off x="25063969" y="190861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96</xdr:row>
      <xdr:rowOff>17145</xdr:rowOff>
    </xdr:from>
    <xdr:to>
      <xdr:col>60</xdr:col>
      <xdr:colOff>3694</xdr:colOff>
      <xdr:row>96</xdr:row>
      <xdr:rowOff>127635</xdr:rowOff>
    </xdr:to>
    <xdr:sp macro="" textlink="" fLocksText="0">
      <xdr:nvSpPr>
        <xdr:cNvPr id="272" name="Text Box 1395">
          <a:extLst>
            <a:ext uri="{FF2B5EF4-FFF2-40B4-BE49-F238E27FC236}">
              <a16:creationId xmlns:a16="http://schemas.microsoft.com/office/drawing/2014/main" xmlns="" id="{00000000-0008-0000-0400-000095000000}"/>
            </a:ext>
          </a:extLst>
        </xdr:cNvPr>
        <xdr:cNvSpPr txBox="1">
          <a:spLocks noChangeArrowheads="1"/>
        </xdr:cNvSpPr>
      </xdr:nvSpPr>
      <xdr:spPr bwMode="auto">
        <a:xfrm>
          <a:off x="25940269" y="183241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97</xdr:row>
      <xdr:rowOff>17145</xdr:rowOff>
    </xdr:from>
    <xdr:to>
      <xdr:col>60</xdr:col>
      <xdr:colOff>3694</xdr:colOff>
      <xdr:row>97</xdr:row>
      <xdr:rowOff>127635</xdr:rowOff>
    </xdr:to>
    <xdr:sp macro="" textlink="" fLocksText="0">
      <xdr:nvSpPr>
        <xdr:cNvPr id="273" name="Text Box 1395">
          <a:extLst>
            <a:ext uri="{FF2B5EF4-FFF2-40B4-BE49-F238E27FC236}">
              <a16:creationId xmlns:a16="http://schemas.microsoft.com/office/drawing/2014/main" xmlns="" id="{00000000-0008-0000-0400-000096000000}"/>
            </a:ext>
          </a:extLst>
        </xdr:cNvPr>
        <xdr:cNvSpPr txBox="1">
          <a:spLocks noChangeArrowheads="1"/>
        </xdr:cNvSpPr>
      </xdr:nvSpPr>
      <xdr:spPr bwMode="auto">
        <a:xfrm>
          <a:off x="25940269" y="185146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98</xdr:row>
      <xdr:rowOff>17145</xdr:rowOff>
    </xdr:from>
    <xdr:to>
      <xdr:col>60</xdr:col>
      <xdr:colOff>3694</xdr:colOff>
      <xdr:row>98</xdr:row>
      <xdr:rowOff>127635</xdr:rowOff>
    </xdr:to>
    <xdr:sp macro="" textlink="" fLocksText="0">
      <xdr:nvSpPr>
        <xdr:cNvPr id="274" name="Text Box 1395">
          <a:extLst>
            <a:ext uri="{FF2B5EF4-FFF2-40B4-BE49-F238E27FC236}">
              <a16:creationId xmlns:a16="http://schemas.microsoft.com/office/drawing/2014/main" xmlns="" id="{00000000-0008-0000-0400-000097000000}"/>
            </a:ext>
          </a:extLst>
        </xdr:cNvPr>
        <xdr:cNvSpPr txBox="1">
          <a:spLocks noChangeArrowheads="1"/>
        </xdr:cNvSpPr>
      </xdr:nvSpPr>
      <xdr:spPr bwMode="auto">
        <a:xfrm>
          <a:off x="25940269" y="187051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99</xdr:row>
      <xdr:rowOff>17145</xdr:rowOff>
    </xdr:from>
    <xdr:to>
      <xdr:col>60</xdr:col>
      <xdr:colOff>3694</xdr:colOff>
      <xdr:row>99</xdr:row>
      <xdr:rowOff>127635</xdr:rowOff>
    </xdr:to>
    <xdr:sp macro="" textlink="" fLocksText="0">
      <xdr:nvSpPr>
        <xdr:cNvPr id="275" name="Text Box 1395">
          <a:extLst>
            <a:ext uri="{FF2B5EF4-FFF2-40B4-BE49-F238E27FC236}">
              <a16:creationId xmlns:a16="http://schemas.microsoft.com/office/drawing/2014/main" xmlns="" id="{00000000-0008-0000-0400-000098000000}"/>
            </a:ext>
          </a:extLst>
        </xdr:cNvPr>
        <xdr:cNvSpPr txBox="1">
          <a:spLocks noChangeArrowheads="1"/>
        </xdr:cNvSpPr>
      </xdr:nvSpPr>
      <xdr:spPr bwMode="auto">
        <a:xfrm>
          <a:off x="25940269" y="188956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100</xdr:row>
      <xdr:rowOff>17145</xdr:rowOff>
    </xdr:from>
    <xdr:to>
      <xdr:col>60</xdr:col>
      <xdr:colOff>3694</xdr:colOff>
      <xdr:row>100</xdr:row>
      <xdr:rowOff>127635</xdr:rowOff>
    </xdr:to>
    <xdr:sp macro="" textlink="" fLocksText="0">
      <xdr:nvSpPr>
        <xdr:cNvPr id="276" name="Text Box 1395">
          <a:extLst>
            <a:ext uri="{FF2B5EF4-FFF2-40B4-BE49-F238E27FC236}">
              <a16:creationId xmlns:a16="http://schemas.microsoft.com/office/drawing/2014/main" xmlns="" id="{00000000-0008-0000-0400-000099000000}"/>
            </a:ext>
          </a:extLst>
        </xdr:cNvPr>
        <xdr:cNvSpPr txBox="1">
          <a:spLocks noChangeArrowheads="1"/>
        </xdr:cNvSpPr>
      </xdr:nvSpPr>
      <xdr:spPr bwMode="auto">
        <a:xfrm>
          <a:off x="25940269" y="190861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96</xdr:row>
      <xdr:rowOff>17145</xdr:rowOff>
    </xdr:from>
    <xdr:to>
      <xdr:col>60</xdr:col>
      <xdr:colOff>3694</xdr:colOff>
      <xdr:row>96</xdr:row>
      <xdr:rowOff>127635</xdr:rowOff>
    </xdr:to>
    <xdr:sp macro="" textlink="" fLocksText="0">
      <xdr:nvSpPr>
        <xdr:cNvPr id="277" name="Text Box 1395">
          <a:extLst>
            <a:ext uri="{FF2B5EF4-FFF2-40B4-BE49-F238E27FC236}">
              <a16:creationId xmlns:a16="http://schemas.microsoft.com/office/drawing/2014/main" xmlns="" id="{00000000-0008-0000-0400-00009A000000}"/>
            </a:ext>
          </a:extLst>
        </xdr:cNvPr>
        <xdr:cNvSpPr txBox="1">
          <a:spLocks noChangeArrowheads="1"/>
        </xdr:cNvSpPr>
      </xdr:nvSpPr>
      <xdr:spPr bwMode="auto">
        <a:xfrm>
          <a:off x="25940269" y="183241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97</xdr:row>
      <xdr:rowOff>17145</xdr:rowOff>
    </xdr:from>
    <xdr:to>
      <xdr:col>60</xdr:col>
      <xdr:colOff>3694</xdr:colOff>
      <xdr:row>97</xdr:row>
      <xdr:rowOff>127635</xdr:rowOff>
    </xdr:to>
    <xdr:sp macro="" textlink="" fLocksText="0">
      <xdr:nvSpPr>
        <xdr:cNvPr id="278" name="Text Box 1395">
          <a:extLst>
            <a:ext uri="{FF2B5EF4-FFF2-40B4-BE49-F238E27FC236}">
              <a16:creationId xmlns:a16="http://schemas.microsoft.com/office/drawing/2014/main" xmlns="" id="{00000000-0008-0000-0400-00009B000000}"/>
            </a:ext>
          </a:extLst>
        </xdr:cNvPr>
        <xdr:cNvSpPr txBox="1">
          <a:spLocks noChangeArrowheads="1"/>
        </xdr:cNvSpPr>
      </xdr:nvSpPr>
      <xdr:spPr bwMode="auto">
        <a:xfrm>
          <a:off x="25940269" y="185146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98</xdr:row>
      <xdr:rowOff>17145</xdr:rowOff>
    </xdr:from>
    <xdr:to>
      <xdr:col>60</xdr:col>
      <xdr:colOff>3694</xdr:colOff>
      <xdr:row>98</xdr:row>
      <xdr:rowOff>127635</xdr:rowOff>
    </xdr:to>
    <xdr:sp macro="" textlink="" fLocksText="0">
      <xdr:nvSpPr>
        <xdr:cNvPr id="279" name="Text Box 1395">
          <a:extLst>
            <a:ext uri="{FF2B5EF4-FFF2-40B4-BE49-F238E27FC236}">
              <a16:creationId xmlns:a16="http://schemas.microsoft.com/office/drawing/2014/main" xmlns="" id="{00000000-0008-0000-0400-00009C000000}"/>
            </a:ext>
          </a:extLst>
        </xdr:cNvPr>
        <xdr:cNvSpPr txBox="1">
          <a:spLocks noChangeArrowheads="1"/>
        </xdr:cNvSpPr>
      </xdr:nvSpPr>
      <xdr:spPr bwMode="auto">
        <a:xfrm>
          <a:off x="25940269" y="187051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99</xdr:row>
      <xdr:rowOff>17145</xdr:rowOff>
    </xdr:from>
    <xdr:to>
      <xdr:col>60</xdr:col>
      <xdr:colOff>3694</xdr:colOff>
      <xdr:row>99</xdr:row>
      <xdr:rowOff>127635</xdr:rowOff>
    </xdr:to>
    <xdr:sp macro="" textlink="" fLocksText="0">
      <xdr:nvSpPr>
        <xdr:cNvPr id="280" name="Text Box 1395">
          <a:extLst>
            <a:ext uri="{FF2B5EF4-FFF2-40B4-BE49-F238E27FC236}">
              <a16:creationId xmlns:a16="http://schemas.microsoft.com/office/drawing/2014/main" xmlns="" id="{00000000-0008-0000-0400-00009D000000}"/>
            </a:ext>
          </a:extLst>
        </xdr:cNvPr>
        <xdr:cNvSpPr txBox="1">
          <a:spLocks noChangeArrowheads="1"/>
        </xdr:cNvSpPr>
      </xdr:nvSpPr>
      <xdr:spPr bwMode="auto">
        <a:xfrm>
          <a:off x="25940269" y="188956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60</xdr:col>
      <xdr:colOff>3694</xdr:colOff>
      <xdr:row>100</xdr:row>
      <xdr:rowOff>17145</xdr:rowOff>
    </xdr:from>
    <xdr:to>
      <xdr:col>60</xdr:col>
      <xdr:colOff>3694</xdr:colOff>
      <xdr:row>100</xdr:row>
      <xdr:rowOff>127635</xdr:rowOff>
    </xdr:to>
    <xdr:sp macro="" textlink="" fLocksText="0">
      <xdr:nvSpPr>
        <xdr:cNvPr id="281" name="Text Box 1395">
          <a:extLst>
            <a:ext uri="{FF2B5EF4-FFF2-40B4-BE49-F238E27FC236}">
              <a16:creationId xmlns:a16="http://schemas.microsoft.com/office/drawing/2014/main" xmlns="" id="{00000000-0008-0000-0400-00009E000000}"/>
            </a:ext>
          </a:extLst>
        </xdr:cNvPr>
        <xdr:cNvSpPr txBox="1">
          <a:spLocks noChangeArrowheads="1"/>
        </xdr:cNvSpPr>
      </xdr:nvSpPr>
      <xdr:spPr bwMode="auto">
        <a:xfrm>
          <a:off x="25940269" y="190861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96</xdr:row>
      <xdr:rowOff>17145</xdr:rowOff>
    </xdr:from>
    <xdr:to>
      <xdr:col>58</xdr:col>
      <xdr:colOff>3694</xdr:colOff>
      <xdr:row>96</xdr:row>
      <xdr:rowOff>127635</xdr:rowOff>
    </xdr:to>
    <xdr:sp macro="" textlink="" fLocksText="0">
      <xdr:nvSpPr>
        <xdr:cNvPr id="313" name="Text Box 1395">
          <a:extLst>
            <a:ext uri="{FF2B5EF4-FFF2-40B4-BE49-F238E27FC236}">
              <a16:creationId xmlns:a16="http://schemas.microsoft.com/office/drawing/2014/main" xmlns="" id="{00000000-0008-0000-0400-0000CD000000}"/>
            </a:ext>
          </a:extLst>
        </xdr:cNvPr>
        <xdr:cNvSpPr txBox="1">
          <a:spLocks noChangeArrowheads="1"/>
        </xdr:cNvSpPr>
      </xdr:nvSpPr>
      <xdr:spPr bwMode="auto">
        <a:xfrm>
          <a:off x="25063969" y="183241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97</xdr:row>
      <xdr:rowOff>17145</xdr:rowOff>
    </xdr:from>
    <xdr:to>
      <xdr:col>58</xdr:col>
      <xdr:colOff>3694</xdr:colOff>
      <xdr:row>97</xdr:row>
      <xdr:rowOff>127635</xdr:rowOff>
    </xdr:to>
    <xdr:sp macro="" textlink="" fLocksText="0">
      <xdr:nvSpPr>
        <xdr:cNvPr id="314" name="Text Box 1395">
          <a:extLst>
            <a:ext uri="{FF2B5EF4-FFF2-40B4-BE49-F238E27FC236}">
              <a16:creationId xmlns:a16="http://schemas.microsoft.com/office/drawing/2014/main" xmlns="" id="{00000000-0008-0000-0400-0000CE000000}"/>
            </a:ext>
          </a:extLst>
        </xdr:cNvPr>
        <xdr:cNvSpPr txBox="1">
          <a:spLocks noChangeArrowheads="1"/>
        </xdr:cNvSpPr>
      </xdr:nvSpPr>
      <xdr:spPr bwMode="auto">
        <a:xfrm>
          <a:off x="25063969" y="185146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98</xdr:row>
      <xdr:rowOff>17145</xdr:rowOff>
    </xdr:from>
    <xdr:to>
      <xdr:col>58</xdr:col>
      <xdr:colOff>3694</xdr:colOff>
      <xdr:row>98</xdr:row>
      <xdr:rowOff>127635</xdr:rowOff>
    </xdr:to>
    <xdr:sp macro="" textlink="" fLocksText="0">
      <xdr:nvSpPr>
        <xdr:cNvPr id="315" name="Text Box 1395">
          <a:extLst>
            <a:ext uri="{FF2B5EF4-FFF2-40B4-BE49-F238E27FC236}">
              <a16:creationId xmlns:a16="http://schemas.microsoft.com/office/drawing/2014/main" xmlns="" id="{00000000-0008-0000-0400-0000CF000000}"/>
            </a:ext>
          </a:extLst>
        </xdr:cNvPr>
        <xdr:cNvSpPr txBox="1">
          <a:spLocks noChangeArrowheads="1"/>
        </xdr:cNvSpPr>
      </xdr:nvSpPr>
      <xdr:spPr bwMode="auto">
        <a:xfrm>
          <a:off x="25063969" y="187051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99</xdr:row>
      <xdr:rowOff>17145</xdr:rowOff>
    </xdr:from>
    <xdr:to>
      <xdr:col>58</xdr:col>
      <xdr:colOff>3694</xdr:colOff>
      <xdr:row>99</xdr:row>
      <xdr:rowOff>127635</xdr:rowOff>
    </xdr:to>
    <xdr:sp macro="" textlink="" fLocksText="0">
      <xdr:nvSpPr>
        <xdr:cNvPr id="316" name="Text Box 1395">
          <a:extLst>
            <a:ext uri="{FF2B5EF4-FFF2-40B4-BE49-F238E27FC236}">
              <a16:creationId xmlns:a16="http://schemas.microsoft.com/office/drawing/2014/main" xmlns="" id="{00000000-0008-0000-0400-0000D0000000}"/>
            </a:ext>
          </a:extLst>
        </xdr:cNvPr>
        <xdr:cNvSpPr txBox="1">
          <a:spLocks noChangeArrowheads="1"/>
        </xdr:cNvSpPr>
      </xdr:nvSpPr>
      <xdr:spPr bwMode="auto">
        <a:xfrm>
          <a:off x="25063969" y="188956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xdr:from>
      <xdr:col>58</xdr:col>
      <xdr:colOff>3694</xdr:colOff>
      <xdr:row>100</xdr:row>
      <xdr:rowOff>17145</xdr:rowOff>
    </xdr:from>
    <xdr:to>
      <xdr:col>58</xdr:col>
      <xdr:colOff>3694</xdr:colOff>
      <xdr:row>100</xdr:row>
      <xdr:rowOff>127635</xdr:rowOff>
    </xdr:to>
    <xdr:sp macro="" textlink="" fLocksText="0">
      <xdr:nvSpPr>
        <xdr:cNvPr id="317" name="Text Box 1395">
          <a:extLst>
            <a:ext uri="{FF2B5EF4-FFF2-40B4-BE49-F238E27FC236}">
              <a16:creationId xmlns:a16="http://schemas.microsoft.com/office/drawing/2014/main" xmlns="" id="{00000000-0008-0000-0400-0000D1000000}"/>
            </a:ext>
          </a:extLst>
        </xdr:cNvPr>
        <xdr:cNvSpPr txBox="1">
          <a:spLocks noChangeArrowheads="1"/>
        </xdr:cNvSpPr>
      </xdr:nvSpPr>
      <xdr:spPr bwMode="auto">
        <a:xfrm>
          <a:off x="25063969" y="19086195"/>
          <a:ext cx="0" cy="110490"/>
        </a:xfrm>
        <a:prstGeom prst="rect">
          <a:avLst/>
        </a:prstGeom>
        <a:noFill/>
        <a:ln w="9525">
          <a:noFill/>
          <a:miter lim="800000"/>
          <a:headEnd/>
          <a:tailEnd/>
        </a:ln>
      </xdr:spPr>
      <xdr:txBody>
        <a:bodyPr vertOverflow="clip" wrap="square" lIns="0" tIns="0" rIns="0" bIns="0" anchor="t" upright="1"/>
        <a:lstStyle/>
        <a:p>
          <a:pPr algn="l" rtl="0">
            <a:defRPr sz="1000"/>
          </a:pPr>
          <a:r>
            <a:rPr lang="en-GB" sz="800" b="1" i="0" u="none" strike="noStrike" baseline="0">
              <a:solidFill>
                <a:srgbClr val="000000"/>
              </a:solidFill>
              <a:latin typeface="Times New Roman"/>
              <a:cs typeface="Times New Roman"/>
            </a:rPr>
            <a:t>1000</a:t>
          </a:r>
        </a:p>
      </xdr:txBody>
    </xdr:sp>
    <xdr:clientData/>
  </xdr:twoCellAnchor>
  <xdr:twoCellAnchor editAs="oneCell">
    <xdr:from>
      <xdr:col>6</xdr:col>
      <xdr:colOff>800101</xdr:colOff>
      <xdr:row>27</xdr:row>
      <xdr:rowOff>12700</xdr:rowOff>
    </xdr:from>
    <xdr:to>
      <xdr:col>7</xdr:col>
      <xdr:colOff>25401</xdr:colOff>
      <xdr:row>29</xdr:row>
      <xdr:rowOff>181508</xdr:rowOff>
    </xdr:to>
    <xdr:pic>
      <xdr:nvPicPr>
        <xdr:cNvPr id="148" name="Picture 147" descr="hops2.jpg"/>
        <xdr:cNvPicPr>
          <a:picLocks noChangeAspect="1"/>
        </xdr:cNvPicPr>
      </xdr:nvPicPr>
      <xdr:blipFill>
        <a:blip xmlns:r="http://schemas.openxmlformats.org/officeDocument/2006/relationships" r:embed="rId12" cstate="print"/>
        <a:stretch>
          <a:fillRect/>
        </a:stretch>
      </xdr:blipFill>
      <xdr:spPr>
        <a:xfrm>
          <a:off x="6413501" y="4762500"/>
          <a:ext cx="850900" cy="562508"/>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0.86355</cdr:x>
      <cdr:y>0.64428</cdr:y>
    </cdr:from>
    <cdr:to>
      <cdr:x>1</cdr:x>
      <cdr:y>0.84212</cdr:y>
    </cdr:to>
    <cdr:sp macro="" textlink="">
      <cdr:nvSpPr>
        <cdr:cNvPr id="3073" name="Text Box 1025"/>
        <cdr:cNvSpPr txBox="1">
          <a:spLocks xmlns:a="http://schemas.openxmlformats.org/drawingml/2006/main" noChangeArrowheads="1"/>
        </cdr:cNvSpPr>
      </cdr:nvSpPr>
      <cdr:spPr bwMode="auto">
        <a:xfrm xmlns:a="http://schemas.openxmlformats.org/drawingml/2006/main">
          <a:off x="6108700" y="2634723"/>
          <a:ext cx="965200" cy="8090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defRPr sz="1000"/>
          </a:pPr>
          <a:r>
            <a:rPr lang="en-GB" sz="1500" b="1" i="0" u="sng" strike="noStrike">
              <a:solidFill>
                <a:srgbClr val="FF0000"/>
              </a:solidFill>
              <a:latin typeface="Times New Roman" pitchFamily="18" charset="0"/>
              <a:cs typeface="Times New Roman" pitchFamily="18" charset="0"/>
            </a:rPr>
            <a:t>Hop Boil</a:t>
          </a:r>
        </a:p>
        <a:p xmlns:a="http://schemas.openxmlformats.org/drawingml/2006/main">
          <a:pPr algn="l" rtl="0">
            <a:defRPr sz="1000"/>
          </a:pPr>
          <a:r>
            <a:rPr lang="en-GB" sz="1500" b="1" i="0" u="sng" strike="noStrike">
              <a:solidFill>
                <a:srgbClr val="FF0000"/>
              </a:solidFill>
              <a:latin typeface="Times New Roman" pitchFamily="18" charset="0"/>
              <a:cs typeface="Times New Roman" pitchFamily="18" charset="0"/>
            </a:rPr>
            <a:t>Utilization </a:t>
          </a:r>
        </a:p>
        <a:p xmlns:a="http://schemas.openxmlformats.org/drawingml/2006/main">
          <a:pPr algn="l" rtl="0">
            <a:defRPr sz="1000"/>
          </a:pPr>
          <a:r>
            <a:rPr lang="en-GB" sz="1500" b="1" i="0" u="sng" strike="noStrike">
              <a:solidFill>
                <a:srgbClr val="FF0000"/>
              </a:solidFill>
              <a:latin typeface="Times New Roman" pitchFamily="18" charset="0"/>
              <a:cs typeface="Times New Roman" pitchFamily="18" charset="0"/>
            </a:rPr>
            <a:t>Chart</a:t>
          </a:r>
        </a:p>
        <a:p xmlns:a="http://schemas.openxmlformats.org/drawingml/2006/main">
          <a:pPr algn="ctr" rtl="0">
            <a:defRPr sz="1000"/>
          </a:pPr>
          <a:endParaRPr lang="en-GB" sz="1100" b="1" i="0" strike="noStrike">
            <a:solidFill>
              <a:srgbClr val="000000"/>
            </a:solidFill>
            <a:latin typeface="Arial"/>
            <a:cs typeface="Arial"/>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9</xdr:col>
      <xdr:colOff>118654</xdr:colOff>
      <xdr:row>96</xdr:row>
      <xdr:rowOff>67144</xdr:rowOff>
    </xdr:from>
    <xdr:to>
      <xdr:col>9</xdr:col>
      <xdr:colOff>560614</xdr:colOff>
      <xdr:row>105</xdr:row>
      <xdr:rowOff>143344</xdr:rowOff>
    </xdr:to>
    <xdr:pic>
      <xdr:nvPicPr>
        <xdr:cNvPr id="2" name="Picture 615">
          <a:extLst>
            <a:ext uri="{FF2B5EF4-FFF2-40B4-BE49-F238E27FC236}">
              <a16:creationId xmlns:a16="http://schemas.microsoft.com/office/drawing/2014/main" xmlns="" id="{00000000-0008-0000-0600-000005000000}"/>
            </a:ext>
          </a:extLst>
        </xdr:cNvPr>
        <xdr:cNvPicPr>
          <a:picLocks noRot="1" noChangeAspect="1" noChangeArrowheads="1"/>
        </xdr:cNvPicPr>
      </xdr:nvPicPr>
      <xdr:blipFill>
        <a:blip xmlns:r="http://schemas.openxmlformats.org/officeDocument/2006/relationships" r:embed="rId1" cstate="print"/>
        <a:srcRect/>
        <a:stretch>
          <a:fillRect/>
        </a:stretch>
      </xdr:blipFill>
      <xdr:spPr bwMode="auto">
        <a:xfrm>
          <a:off x="10796179" y="18945694"/>
          <a:ext cx="441960" cy="1876425"/>
        </a:xfrm>
        <a:prstGeom prst="rect">
          <a:avLst/>
        </a:prstGeom>
        <a:noFill/>
        <a:ln w="9525">
          <a:noFill/>
          <a:miter lim="800000"/>
          <a:headEnd/>
          <a:tailEnd/>
        </a:ln>
      </xdr:spPr>
    </xdr:pic>
    <xdr:clientData/>
  </xdr:twoCellAnchor>
  <xdr:twoCellAnchor>
    <xdr:from>
      <xdr:col>11</xdr:col>
      <xdr:colOff>130713</xdr:colOff>
      <xdr:row>138</xdr:row>
      <xdr:rowOff>55280</xdr:rowOff>
    </xdr:from>
    <xdr:to>
      <xdr:col>11</xdr:col>
      <xdr:colOff>499893</xdr:colOff>
      <xdr:row>144</xdr:row>
      <xdr:rowOff>157376</xdr:rowOff>
    </xdr:to>
    <xdr:pic>
      <xdr:nvPicPr>
        <xdr:cNvPr id="3" name="Picture 616">
          <a:extLst>
            <a:ext uri="{FF2B5EF4-FFF2-40B4-BE49-F238E27FC236}">
              <a16:creationId xmlns:a16="http://schemas.microsoft.com/office/drawing/2014/main" xmlns="" id="{00000000-0008-0000-0600-000006000000}"/>
            </a:ext>
          </a:extLst>
        </xdr:cNvPr>
        <xdr:cNvPicPr>
          <a:picLocks noRot="1" noChangeAspect="1" noChangeArrowheads="1"/>
        </xdr:cNvPicPr>
      </xdr:nvPicPr>
      <xdr:blipFill>
        <a:blip xmlns:r="http://schemas.openxmlformats.org/officeDocument/2006/relationships" r:embed="rId2" cstate="print"/>
        <a:srcRect/>
        <a:stretch>
          <a:fillRect/>
        </a:stretch>
      </xdr:blipFill>
      <xdr:spPr bwMode="auto">
        <a:xfrm>
          <a:off x="12294138" y="27134855"/>
          <a:ext cx="369180" cy="1302246"/>
        </a:xfrm>
        <a:prstGeom prst="rect">
          <a:avLst/>
        </a:prstGeom>
        <a:noFill/>
        <a:ln w="9525">
          <a:noFill/>
          <a:miter lim="800000"/>
          <a:headEnd/>
          <a:tailEnd/>
        </a:ln>
      </xdr:spPr>
    </xdr:pic>
    <xdr:clientData/>
  </xdr:twoCellAnchor>
  <xdr:twoCellAnchor>
    <xdr:from>
      <xdr:col>9</xdr:col>
      <xdr:colOff>63543</xdr:colOff>
      <xdr:row>138</xdr:row>
      <xdr:rowOff>63498</xdr:rowOff>
    </xdr:from>
    <xdr:to>
      <xdr:col>9</xdr:col>
      <xdr:colOff>631032</xdr:colOff>
      <xdr:row>144</xdr:row>
      <xdr:rowOff>132079</xdr:rowOff>
    </xdr:to>
    <xdr:pic>
      <xdr:nvPicPr>
        <xdr:cNvPr id="4" name="Picture 737">
          <a:extLst>
            <a:ext uri="{FF2B5EF4-FFF2-40B4-BE49-F238E27FC236}">
              <a16:creationId xmlns:a16="http://schemas.microsoft.com/office/drawing/2014/main" xmlns="" id="{00000000-0008-0000-0600-000009000000}"/>
            </a:ext>
          </a:extLst>
        </xdr:cNvPr>
        <xdr:cNvPicPr>
          <a:picLocks noRot="1" noChangeAspect="1" noChangeArrowheads="1"/>
        </xdr:cNvPicPr>
      </xdr:nvPicPr>
      <xdr:blipFill>
        <a:blip xmlns:r="http://schemas.openxmlformats.org/officeDocument/2006/relationships" r:embed="rId3" cstate="screen"/>
        <a:srcRect/>
        <a:stretch>
          <a:fillRect/>
        </a:stretch>
      </xdr:blipFill>
      <xdr:spPr bwMode="auto">
        <a:xfrm>
          <a:off x="10741068" y="27143073"/>
          <a:ext cx="567489" cy="1268731"/>
        </a:xfrm>
        <a:prstGeom prst="rect">
          <a:avLst/>
        </a:prstGeom>
        <a:noFill/>
        <a:ln w="9525">
          <a:noFill/>
          <a:miter lim="800000"/>
          <a:headEnd/>
          <a:tailEnd/>
        </a:ln>
      </xdr:spPr>
    </xdr:pic>
    <xdr:clientData/>
  </xdr:twoCellAnchor>
  <xdr:twoCellAnchor>
    <xdr:from>
      <xdr:col>9</xdr:col>
      <xdr:colOff>698500</xdr:colOff>
      <xdr:row>225</xdr:row>
      <xdr:rowOff>185090</xdr:rowOff>
    </xdr:from>
    <xdr:to>
      <xdr:col>13</xdr:col>
      <xdr:colOff>254000</xdr:colOff>
      <xdr:row>261</xdr:row>
      <xdr:rowOff>50800</xdr:rowOff>
    </xdr:to>
    <xdr:sp macro="" textlink="">
      <xdr:nvSpPr>
        <xdr:cNvPr id="5" name="TextBox 4">
          <a:extLst>
            <a:ext uri="{FF2B5EF4-FFF2-40B4-BE49-F238E27FC236}">
              <a16:creationId xmlns:a16="http://schemas.microsoft.com/office/drawing/2014/main" xmlns="" id="{00000000-0008-0000-0600-00000A000000}"/>
            </a:ext>
          </a:extLst>
        </xdr:cNvPr>
        <xdr:cNvSpPr txBox="1"/>
      </xdr:nvSpPr>
      <xdr:spPr>
        <a:xfrm>
          <a:off x="11376025" y="44362040"/>
          <a:ext cx="2527300" cy="6723710"/>
        </a:xfrm>
        <a:prstGeom prst="rect">
          <a:avLst/>
        </a:prstGeom>
        <a:solidFill>
          <a:srgbClr val="FB89EB">
            <a:alpha val="26000"/>
          </a:srgb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GB" sz="1400" b="1" u="sng">
            <a:latin typeface="Times New Roman" pitchFamily="18" charset="0"/>
            <a:cs typeface="Times New Roman" pitchFamily="18" charset="0"/>
          </a:endParaRPr>
        </a:p>
        <a:p>
          <a:endParaRPr lang="en-GB" sz="1400" b="1" u="sng">
            <a:latin typeface="Times New Roman" pitchFamily="18" charset="0"/>
            <a:cs typeface="Times New Roman" pitchFamily="18" charset="0"/>
          </a:endParaRPr>
        </a:p>
        <a:p>
          <a:r>
            <a:rPr lang="en-GB" sz="1400" b="1" u="sng">
              <a:latin typeface="Times New Roman" pitchFamily="18" charset="0"/>
              <a:cs typeface="Times New Roman" pitchFamily="18" charset="0"/>
            </a:rPr>
            <a:t>MAGAZINE  NOTES:-</a:t>
          </a:r>
        </a:p>
        <a:p>
          <a:endParaRPr lang="en-GB" sz="1100">
            <a:latin typeface="Times New Roman" pitchFamily="18" charset="0"/>
            <a:cs typeface="Times New Roman" pitchFamily="18" charset="0"/>
          </a:endParaRPr>
        </a:p>
        <a:p>
          <a:r>
            <a:rPr lang="en-GB" sz="1200">
              <a:latin typeface="Times New Roman" pitchFamily="18" charset="0"/>
              <a:cs typeface="Times New Roman" pitchFamily="18" charset="0"/>
            </a:rPr>
            <a:t>Item 4,</a:t>
          </a:r>
          <a:r>
            <a:rPr lang="en-GB" sz="1200" baseline="0">
              <a:latin typeface="Times New Roman" pitchFamily="18" charset="0"/>
              <a:cs typeface="Times New Roman" pitchFamily="18" charset="0"/>
            </a:rPr>
            <a:t> the cooled wort (rhymes with skirt) is NOT known as "lager", it is just wort.  After fermentation it is basically an ale or lager depending of type of yeast used (ale or lager).</a:t>
          </a:r>
        </a:p>
        <a:p>
          <a:endParaRPr lang="en-GB" sz="1200" baseline="0">
            <a:latin typeface="Times New Roman" pitchFamily="18" charset="0"/>
            <a:cs typeface="Times New Roman" pitchFamily="18" charset="0"/>
          </a:endParaRPr>
        </a:p>
        <a:p>
          <a:r>
            <a:rPr lang="en-GB" sz="1200" baseline="0">
              <a:latin typeface="Times New Roman" pitchFamily="18" charset="0"/>
              <a:cs typeface="Times New Roman" pitchFamily="18" charset="0"/>
            </a:rPr>
            <a:t>Real beer is not pasteurized &amp; not artificially carbonated.</a:t>
          </a:r>
        </a:p>
        <a:p>
          <a:endParaRPr lang="en-GB" sz="1200" baseline="0">
            <a:latin typeface="Times New Roman" pitchFamily="18" charset="0"/>
            <a:cs typeface="Times New Roman" pitchFamily="18" charset="0"/>
          </a:endParaRPr>
        </a:p>
        <a:p>
          <a:r>
            <a:rPr lang="en-GB" sz="1200" baseline="0">
              <a:latin typeface="Times New Roman" pitchFamily="18" charset="0"/>
              <a:cs typeface="Times New Roman" pitchFamily="18" charset="0"/>
            </a:rPr>
            <a:t>Most Americans still do not use the  metric system, &amp; some of their units are  different to the out-of-date UK Imperial system, e.g.</a:t>
          </a:r>
        </a:p>
        <a:p>
          <a:endParaRPr lang="en-GB" sz="1200" baseline="0">
            <a:latin typeface="Times New Roman" pitchFamily="18" charset="0"/>
            <a:cs typeface="Times New Roman" pitchFamily="18" charset="0"/>
          </a:endParaRPr>
        </a:p>
        <a:p>
          <a:r>
            <a:rPr lang="en-GB" sz="1200" baseline="0">
              <a:latin typeface="Times New Roman" pitchFamily="18" charset="0"/>
              <a:cs typeface="Times New Roman" pitchFamily="18" charset="0"/>
            </a:rPr>
            <a:t>1 US gallon  </a:t>
          </a:r>
          <a:r>
            <a:rPr lang="en-GB" sz="1200" baseline="0">
              <a:solidFill>
                <a:schemeClr val="dk1"/>
              </a:solidFill>
              <a:latin typeface="Times New Roman" pitchFamily="18" charset="0"/>
              <a:ea typeface="+mn-ea"/>
              <a:cs typeface="Times New Roman" pitchFamily="18" charset="0"/>
            </a:rPr>
            <a:t>≈</a:t>
          </a:r>
          <a:r>
            <a:rPr lang="en-GB" sz="1200" baseline="0">
              <a:latin typeface="Times New Roman" pitchFamily="18" charset="0"/>
              <a:cs typeface="Times New Roman" pitchFamily="18" charset="0"/>
            </a:rPr>
            <a:t> 0.83 Imperial galls     </a:t>
          </a:r>
        </a:p>
        <a:p>
          <a:r>
            <a:rPr lang="en-GB" sz="1200" baseline="0">
              <a:latin typeface="Times New Roman" pitchFamily="18" charset="0"/>
              <a:cs typeface="Times New Roman" pitchFamily="18" charset="0"/>
            </a:rPr>
            <a:t>                     </a:t>
          </a:r>
          <a:r>
            <a:rPr lang="en-GB" sz="1200" baseline="0">
              <a:solidFill>
                <a:schemeClr val="dk1"/>
              </a:solidFill>
              <a:latin typeface="Times New Roman" pitchFamily="18" charset="0"/>
              <a:ea typeface="+mn-ea"/>
              <a:cs typeface="Times New Roman" pitchFamily="18" charset="0"/>
            </a:rPr>
            <a:t>≈</a:t>
          </a:r>
          <a:r>
            <a:rPr lang="en-GB" sz="1200" baseline="0">
              <a:latin typeface="Times New Roman" pitchFamily="18" charset="0"/>
              <a:cs typeface="Times New Roman" pitchFamily="18" charset="0"/>
            </a:rPr>
            <a:t> 3.79 litre</a:t>
          </a:r>
        </a:p>
        <a:p>
          <a:r>
            <a:rPr lang="en-GB" sz="1200" baseline="0">
              <a:latin typeface="Times New Roman" pitchFamily="18" charset="0"/>
              <a:cs typeface="Times New Roman" pitchFamily="18" charset="0"/>
            </a:rPr>
            <a:t>                       (or even liters!).</a:t>
          </a:r>
        </a:p>
        <a:p>
          <a:endParaRPr lang="en-GB" sz="1200" baseline="0">
            <a:latin typeface="Times New Roman" pitchFamily="18" charset="0"/>
            <a:cs typeface="Times New Roman" pitchFamily="18" charset="0"/>
          </a:endParaRPr>
        </a:p>
        <a:p>
          <a:r>
            <a:rPr lang="en-GB" sz="1200" baseline="0">
              <a:latin typeface="Times New Roman" pitchFamily="18" charset="0"/>
              <a:cs typeface="Times New Roman" pitchFamily="18" charset="0"/>
            </a:rPr>
            <a:t>Obviously the temperatures are given in the obsolete </a:t>
          </a:r>
          <a:r>
            <a:rPr lang="en-GB" sz="1400" baseline="0">
              <a:latin typeface="Times New Roman" pitchFamily="18" charset="0"/>
              <a:cs typeface="Times New Roman" pitchFamily="18" charset="0"/>
            </a:rPr>
            <a:t>˚</a:t>
          </a:r>
          <a:r>
            <a:rPr lang="en-GB" sz="1200" baseline="0">
              <a:latin typeface="Times New Roman" pitchFamily="18" charset="0"/>
              <a:cs typeface="Times New Roman" pitchFamily="18" charset="0"/>
            </a:rPr>
            <a:t>Fahrenheit scale, </a:t>
          </a:r>
        </a:p>
        <a:p>
          <a:r>
            <a:rPr lang="en-GB" sz="1200" baseline="0">
              <a:solidFill>
                <a:schemeClr val="dk1"/>
              </a:solidFill>
              <a:latin typeface="Times New Roman" pitchFamily="18" charset="0"/>
              <a:ea typeface="+mn-ea"/>
              <a:cs typeface="Times New Roman" pitchFamily="18" charset="0"/>
            </a:rPr>
            <a:t> where 160˚F ≈ 71</a:t>
          </a:r>
          <a:r>
            <a:rPr lang="en-GB" sz="1400" baseline="0">
              <a:solidFill>
                <a:schemeClr val="dk1"/>
              </a:solidFill>
              <a:latin typeface="Times New Roman" pitchFamily="18" charset="0"/>
              <a:ea typeface="+mn-ea"/>
              <a:cs typeface="Times New Roman" pitchFamily="18" charset="0"/>
            </a:rPr>
            <a:t>˚</a:t>
          </a:r>
          <a:r>
            <a:rPr lang="en-GB" sz="1200" baseline="0">
              <a:solidFill>
                <a:schemeClr val="dk1"/>
              </a:solidFill>
              <a:latin typeface="Times New Roman" pitchFamily="18" charset="0"/>
              <a:ea typeface="+mn-ea"/>
              <a:cs typeface="Times New Roman" pitchFamily="18" charset="0"/>
            </a:rPr>
            <a:t>C (see note 1 in the article). </a:t>
          </a:r>
        </a:p>
        <a:p>
          <a:endParaRPr lang="en-GB" sz="1200" baseline="0">
            <a:solidFill>
              <a:schemeClr val="dk1"/>
            </a:solidFill>
            <a:latin typeface="Times New Roman" pitchFamily="18" charset="0"/>
            <a:ea typeface="+mn-ea"/>
            <a:cs typeface="Times New Roman" pitchFamily="18" charset="0"/>
          </a:endParaRPr>
        </a:p>
        <a:p>
          <a:r>
            <a:rPr lang="en-GB" sz="1200" baseline="0">
              <a:solidFill>
                <a:schemeClr val="dk1"/>
              </a:solidFill>
              <a:latin typeface="Times New Roman" pitchFamily="18" charset="0"/>
              <a:ea typeface="+mn-ea"/>
              <a:cs typeface="Times New Roman" pitchFamily="18" charset="0"/>
            </a:rPr>
            <a:t>Still, an interesting article from over 85 years ago complete with some excellent graphics!  No computers in them days!</a:t>
          </a:r>
          <a:endParaRPr lang="en-GB" sz="1200" baseline="0">
            <a:latin typeface="Times New Roman" pitchFamily="18" charset="0"/>
            <a:cs typeface="Times New Roman" pitchFamily="18" charset="0"/>
          </a:endParaRPr>
        </a:p>
      </xdr:txBody>
    </xdr:sp>
    <xdr:clientData/>
  </xdr:twoCellAnchor>
  <xdr:twoCellAnchor editAs="oneCell">
    <xdr:from>
      <xdr:col>0</xdr:col>
      <xdr:colOff>165100</xdr:colOff>
      <xdr:row>225</xdr:row>
      <xdr:rowOff>138380</xdr:rowOff>
    </xdr:from>
    <xdr:to>
      <xdr:col>9</xdr:col>
      <xdr:colOff>188292</xdr:colOff>
      <xdr:row>263</xdr:row>
      <xdr:rowOff>117804</xdr:rowOff>
    </xdr:to>
    <xdr:pic>
      <xdr:nvPicPr>
        <xdr:cNvPr id="6" name="Picture 5" descr="004d copy.jpg">
          <a:extLst>
            <a:ext uri="{FF2B5EF4-FFF2-40B4-BE49-F238E27FC236}">
              <a16:creationId xmlns:a16="http://schemas.microsoft.com/office/drawing/2014/main" xmlns="" id="{00000000-0008-0000-0600-00000B000000}"/>
            </a:ext>
          </a:extLst>
        </xdr:cNvPr>
        <xdr:cNvPicPr>
          <a:picLocks noChangeAspect="1"/>
        </xdr:cNvPicPr>
      </xdr:nvPicPr>
      <xdr:blipFill>
        <a:blip xmlns:r="http://schemas.openxmlformats.org/officeDocument/2006/relationships" r:embed="rId4" cstate="print"/>
        <a:stretch>
          <a:fillRect/>
        </a:stretch>
      </xdr:blipFill>
      <xdr:spPr>
        <a:xfrm>
          <a:off x="165100" y="44315330"/>
          <a:ext cx="10700717" cy="7218424"/>
        </a:xfrm>
        <a:prstGeom prst="rect">
          <a:avLst/>
        </a:prstGeom>
      </xdr:spPr>
    </xdr:pic>
    <xdr:clientData/>
  </xdr:twoCellAnchor>
  <xdr:twoCellAnchor editAs="oneCell">
    <xdr:from>
      <xdr:col>0</xdr:col>
      <xdr:colOff>293550</xdr:colOff>
      <xdr:row>209</xdr:row>
      <xdr:rowOff>8018</xdr:rowOff>
    </xdr:from>
    <xdr:to>
      <xdr:col>7</xdr:col>
      <xdr:colOff>435811</xdr:colOff>
      <xdr:row>213</xdr:row>
      <xdr:rowOff>0</xdr:rowOff>
    </xdr:to>
    <xdr:pic>
      <xdr:nvPicPr>
        <xdr:cNvPr id="8" name="Picture 7" descr="primq.png">
          <a:extLst>
            <a:ext uri="{FF2B5EF4-FFF2-40B4-BE49-F238E27FC236}">
              <a16:creationId xmlns:a16="http://schemas.microsoft.com/office/drawing/2014/main" xmlns="" id="{00000000-0008-0000-0600-00000F000000}"/>
            </a:ext>
          </a:extLst>
        </xdr:cNvPr>
        <xdr:cNvPicPr>
          <a:picLocks noChangeAspect="1"/>
        </xdr:cNvPicPr>
      </xdr:nvPicPr>
      <xdr:blipFill>
        <a:blip xmlns:r="http://schemas.openxmlformats.org/officeDocument/2006/relationships" r:embed="rId5" cstate="print"/>
        <a:stretch>
          <a:fillRect/>
        </a:stretch>
      </xdr:blipFill>
      <xdr:spPr>
        <a:xfrm>
          <a:off x="293550" y="41089343"/>
          <a:ext cx="9210061" cy="792082"/>
        </a:xfrm>
        <a:prstGeom prst="rect">
          <a:avLst/>
        </a:prstGeom>
      </xdr:spPr>
    </xdr:pic>
    <xdr:clientData/>
  </xdr:twoCellAnchor>
  <xdr:twoCellAnchor>
    <xdr:from>
      <xdr:col>15</xdr:col>
      <xdr:colOff>44302</xdr:colOff>
      <xdr:row>3</xdr:row>
      <xdr:rowOff>2626</xdr:rowOff>
    </xdr:from>
    <xdr:to>
      <xdr:col>15</xdr:col>
      <xdr:colOff>116302</xdr:colOff>
      <xdr:row>5</xdr:row>
      <xdr:rowOff>3969</xdr:rowOff>
    </xdr:to>
    <xdr:sp macro="" textlink="" fLocksText="0">
      <xdr:nvSpPr>
        <xdr:cNvPr id="9" name="Right Brace 8">
          <a:extLst>
            <a:ext uri="{FF2B5EF4-FFF2-40B4-BE49-F238E27FC236}">
              <a16:creationId xmlns:a16="http://schemas.microsoft.com/office/drawing/2014/main" xmlns="" id="{00000000-0008-0000-0600-000010000000}"/>
            </a:ext>
          </a:extLst>
        </xdr:cNvPr>
        <xdr:cNvSpPr>
          <a:spLocks/>
        </xdr:cNvSpPr>
      </xdr:nvSpPr>
      <xdr:spPr bwMode="auto">
        <a:xfrm>
          <a:off x="15179527" y="678901"/>
          <a:ext cx="72000" cy="401393"/>
        </a:xfrm>
        <a:prstGeom prst="rightBrace">
          <a:avLst>
            <a:gd name="adj1" fmla="val 25980"/>
            <a:gd name="adj2" fmla="val 49228"/>
          </a:avLst>
        </a:prstGeom>
        <a:no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fLocksWithSheet="0"/>
  </xdr:twoCellAnchor>
  <xdr:twoCellAnchor editAs="oneCell">
    <xdr:from>
      <xdr:col>16</xdr:col>
      <xdr:colOff>477836</xdr:colOff>
      <xdr:row>94</xdr:row>
      <xdr:rowOff>60862</xdr:rowOff>
    </xdr:from>
    <xdr:to>
      <xdr:col>26</xdr:col>
      <xdr:colOff>636957</xdr:colOff>
      <xdr:row>122</xdr:row>
      <xdr:rowOff>155058</xdr:rowOff>
    </xdr:to>
    <xdr:pic>
      <xdr:nvPicPr>
        <xdr:cNvPr id="10" name="Picture 1" descr="Image result for &quot;un bar aux folies bergère&quot; (a bar at the folies-bergère)">
          <a:extLst>
            <a:ext uri="{FF2B5EF4-FFF2-40B4-BE49-F238E27FC236}">
              <a16:creationId xmlns:a16="http://schemas.microsoft.com/office/drawing/2014/main" xmlns="" id="{00000000-0008-0000-0600-000011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6356011" y="18539362"/>
          <a:ext cx="7598146" cy="5694896"/>
        </a:xfrm>
        <a:prstGeom prst="rect">
          <a:avLst/>
        </a:prstGeom>
        <a:noFill/>
      </xdr:spPr>
    </xdr:pic>
    <xdr:clientData/>
  </xdr:twoCellAnchor>
  <xdr:twoCellAnchor editAs="oneCell">
    <xdr:from>
      <xdr:col>6</xdr:col>
      <xdr:colOff>912174</xdr:colOff>
      <xdr:row>215</xdr:row>
      <xdr:rowOff>101600</xdr:rowOff>
    </xdr:from>
    <xdr:to>
      <xdr:col>7</xdr:col>
      <xdr:colOff>858953</xdr:colOff>
      <xdr:row>223</xdr:row>
      <xdr:rowOff>40511</xdr:rowOff>
    </xdr:to>
    <xdr:pic>
      <xdr:nvPicPr>
        <xdr:cNvPr id="11" name="Picture 10" descr="61CSXuScnaL._SL1000_ copy.jpg">
          <a:extLst>
            <a:ext uri="{FF2B5EF4-FFF2-40B4-BE49-F238E27FC236}">
              <a16:creationId xmlns:a16="http://schemas.microsoft.com/office/drawing/2014/main" xmlns="" id="{00000000-0008-0000-0600-000012000000}"/>
            </a:ext>
          </a:extLst>
        </xdr:cNvPr>
        <xdr:cNvPicPr>
          <a:picLocks noChangeAspect="1"/>
        </xdr:cNvPicPr>
      </xdr:nvPicPr>
      <xdr:blipFill>
        <a:blip xmlns:r="http://schemas.openxmlformats.org/officeDocument/2006/relationships" r:embed="rId7" cstate="print"/>
        <a:stretch>
          <a:fillRect/>
        </a:stretch>
      </xdr:blipFill>
      <xdr:spPr>
        <a:xfrm>
          <a:off x="8436924" y="42373550"/>
          <a:ext cx="1489829" cy="1462911"/>
        </a:xfrm>
        <a:prstGeom prst="rect">
          <a:avLst/>
        </a:prstGeom>
      </xdr:spPr>
    </xdr:pic>
    <xdr:clientData/>
  </xdr:twoCellAnchor>
  <xdr:twoCellAnchor editAs="oneCell">
    <xdr:from>
      <xdr:col>4</xdr:col>
      <xdr:colOff>524711</xdr:colOff>
      <xdr:row>55</xdr:row>
      <xdr:rowOff>50800</xdr:rowOff>
    </xdr:from>
    <xdr:to>
      <xdr:col>5</xdr:col>
      <xdr:colOff>400547</xdr:colOff>
      <xdr:row>62</xdr:row>
      <xdr:rowOff>177801</xdr:rowOff>
    </xdr:to>
    <xdr:pic>
      <xdr:nvPicPr>
        <xdr:cNvPr id="12" name="Picture 11" descr="packshot_leffe_brune copy.jpg">
          <a:extLst>
            <a:ext uri="{FF2B5EF4-FFF2-40B4-BE49-F238E27FC236}">
              <a16:creationId xmlns:a16="http://schemas.microsoft.com/office/drawing/2014/main" xmlns="" id="{00000000-0008-0000-0600-000014000000}"/>
            </a:ext>
          </a:extLst>
        </xdr:cNvPr>
        <xdr:cNvPicPr>
          <a:picLocks noChangeAspect="1"/>
        </xdr:cNvPicPr>
      </xdr:nvPicPr>
      <xdr:blipFill>
        <a:blip xmlns:r="http://schemas.openxmlformats.org/officeDocument/2006/relationships" r:embed="rId8"/>
        <a:stretch>
          <a:fillRect/>
        </a:stretch>
      </xdr:blipFill>
      <xdr:spPr>
        <a:xfrm>
          <a:off x="6068261" y="10928350"/>
          <a:ext cx="866436" cy="1527175"/>
        </a:xfrm>
        <a:prstGeom prst="rect">
          <a:avLst/>
        </a:prstGeom>
      </xdr:spPr>
    </xdr:pic>
    <xdr:clientData/>
  </xdr:twoCellAnchor>
  <xdr:twoCellAnchor editAs="oneCell">
    <xdr:from>
      <xdr:col>20</xdr:col>
      <xdr:colOff>44304</xdr:colOff>
      <xdr:row>128</xdr:row>
      <xdr:rowOff>45409</xdr:rowOff>
    </xdr:from>
    <xdr:to>
      <xdr:col>25</xdr:col>
      <xdr:colOff>719415</xdr:colOff>
      <xdr:row>170</xdr:row>
      <xdr:rowOff>164096</xdr:rowOff>
    </xdr:to>
    <xdr:pic>
      <xdr:nvPicPr>
        <xdr:cNvPr id="13" name="Picture 12" descr="1b283bc56b020e13f.jpg">
          <a:extLst>
            <a:ext uri="{FF2B5EF4-FFF2-40B4-BE49-F238E27FC236}">
              <a16:creationId xmlns:a16="http://schemas.microsoft.com/office/drawing/2014/main" xmlns="" id="{00000000-0008-0000-0600-000017000000}"/>
            </a:ext>
          </a:extLst>
        </xdr:cNvPr>
        <xdr:cNvPicPr>
          <a:picLocks noChangeAspect="1"/>
        </xdr:cNvPicPr>
      </xdr:nvPicPr>
      <xdr:blipFill>
        <a:blip xmlns:r="http://schemas.openxmlformats.org/officeDocument/2006/relationships" r:embed="rId9"/>
        <a:stretch>
          <a:fillRect/>
        </a:stretch>
      </xdr:blipFill>
      <xdr:spPr>
        <a:xfrm>
          <a:off x="18894279" y="25124734"/>
          <a:ext cx="4399386" cy="8519737"/>
        </a:xfrm>
        <a:prstGeom prst="rect">
          <a:avLst/>
        </a:prstGeom>
      </xdr:spPr>
    </xdr:pic>
    <xdr:clientData/>
  </xdr:twoCellAnchor>
  <xdr:twoCellAnchor editAs="oneCell">
    <xdr:from>
      <xdr:col>4</xdr:col>
      <xdr:colOff>223984</xdr:colOff>
      <xdr:row>98</xdr:row>
      <xdr:rowOff>43274</xdr:rowOff>
    </xdr:from>
    <xdr:to>
      <xdr:col>5</xdr:col>
      <xdr:colOff>778382</xdr:colOff>
      <xdr:row>105</xdr:row>
      <xdr:rowOff>164771</xdr:rowOff>
    </xdr:to>
    <xdr:pic>
      <xdr:nvPicPr>
        <xdr:cNvPr id="14" name="Picture 13" descr="watneys_glass_overhead_5502.jpg"/>
        <xdr:cNvPicPr>
          <a:picLocks noChangeAspect="1"/>
        </xdr:cNvPicPr>
      </xdr:nvPicPr>
      <xdr:blipFill>
        <a:blip xmlns:r="http://schemas.openxmlformats.org/officeDocument/2006/relationships" r:embed="rId10"/>
        <a:stretch>
          <a:fillRect/>
        </a:stretch>
      </xdr:blipFill>
      <xdr:spPr>
        <a:xfrm>
          <a:off x="5767534" y="19321874"/>
          <a:ext cx="1544998" cy="1521672"/>
        </a:xfrm>
        <a:prstGeom prst="rect">
          <a:avLst/>
        </a:prstGeom>
      </xdr:spPr>
    </xdr:pic>
    <xdr:clientData/>
  </xdr:twoCellAnchor>
  <xdr:twoCellAnchor>
    <xdr:from>
      <xdr:col>9</xdr:col>
      <xdr:colOff>64880</xdr:colOff>
      <xdr:row>57</xdr:row>
      <xdr:rowOff>177800</xdr:rowOff>
    </xdr:from>
    <xdr:to>
      <xdr:col>9</xdr:col>
      <xdr:colOff>662566</xdr:colOff>
      <xdr:row>61</xdr:row>
      <xdr:rowOff>152400</xdr:rowOff>
    </xdr:to>
    <xdr:pic>
      <xdr:nvPicPr>
        <xdr:cNvPr id="15" name="Picture 618">
          <a:extLst>
            <a:ext uri="{FF2B5EF4-FFF2-40B4-BE49-F238E27FC236}">
              <a16:creationId xmlns:a16="http://schemas.microsoft.com/office/drawing/2014/main" xmlns="" id="{00000000-0008-0000-0600-000007000000}"/>
            </a:ext>
          </a:extLst>
        </xdr:cNvPr>
        <xdr:cNvPicPr>
          <a:picLocks noRot="1" noChangeAspect="1" noChangeArrowheads="1"/>
        </xdr:cNvPicPr>
      </xdr:nvPicPr>
      <xdr:blipFill>
        <a:blip xmlns:r="http://schemas.openxmlformats.org/officeDocument/2006/relationships" r:embed="rId11" cstate="print"/>
        <a:srcRect l="16249" r="17740"/>
        <a:stretch>
          <a:fillRect/>
        </a:stretch>
      </xdr:blipFill>
      <xdr:spPr bwMode="auto">
        <a:xfrm>
          <a:off x="10742405" y="11455400"/>
          <a:ext cx="597686" cy="774700"/>
        </a:xfrm>
        <a:prstGeom prst="rect">
          <a:avLst/>
        </a:prstGeom>
        <a:noFill/>
        <a:ln w="9525">
          <a:noFill/>
          <a:miter lim="800000"/>
          <a:headEnd/>
          <a:tailEnd/>
        </a:ln>
      </xdr:spPr>
    </xdr:pic>
    <xdr:clientData/>
  </xdr:twoCellAnchor>
  <xdr:twoCellAnchor>
    <xdr:from>
      <xdr:col>4</xdr:col>
      <xdr:colOff>101599</xdr:colOff>
      <xdr:row>174</xdr:row>
      <xdr:rowOff>65742</xdr:rowOff>
    </xdr:from>
    <xdr:to>
      <xdr:col>4</xdr:col>
      <xdr:colOff>872100</xdr:colOff>
      <xdr:row>181</xdr:row>
      <xdr:rowOff>190500</xdr:rowOff>
    </xdr:to>
    <xdr:pic>
      <xdr:nvPicPr>
        <xdr:cNvPr id="16" name="Picture 620">
          <a:extLst>
            <a:ext uri="{FF2B5EF4-FFF2-40B4-BE49-F238E27FC236}">
              <a16:creationId xmlns:a16="http://schemas.microsoft.com/office/drawing/2014/main" xmlns="" id="{00000000-0008-0000-0600-000002000000}"/>
            </a:ext>
          </a:extLst>
        </xdr:cNvPr>
        <xdr:cNvPicPr>
          <a:picLocks noRot="1" noChangeAspect="1" noChangeArrowheads="1"/>
        </xdr:cNvPicPr>
      </xdr:nvPicPr>
      <xdr:blipFill>
        <a:blip xmlns:r="http://schemas.openxmlformats.org/officeDocument/2006/relationships" r:embed="rId12" cstate="print"/>
        <a:srcRect/>
        <a:stretch>
          <a:fillRect/>
        </a:stretch>
      </xdr:blipFill>
      <xdr:spPr bwMode="auto">
        <a:xfrm>
          <a:off x="5651499" y="35498742"/>
          <a:ext cx="770501" cy="1547158"/>
        </a:xfrm>
        <a:prstGeom prst="rect">
          <a:avLst/>
        </a:prstGeom>
        <a:noFill/>
        <a:ln w="9525">
          <a:noFill/>
          <a:miter lim="800000"/>
          <a:headEnd/>
          <a:tailEnd/>
        </a:ln>
      </xdr:spPr>
    </xdr:pic>
    <xdr:clientData/>
  </xdr:twoCellAnchor>
  <xdr:twoCellAnchor editAs="oneCell">
    <xdr:from>
      <xdr:col>6</xdr:col>
      <xdr:colOff>705146</xdr:colOff>
      <xdr:row>172</xdr:row>
      <xdr:rowOff>12700</xdr:rowOff>
    </xdr:from>
    <xdr:to>
      <xdr:col>7</xdr:col>
      <xdr:colOff>241300</xdr:colOff>
      <xdr:row>174</xdr:row>
      <xdr:rowOff>190500</xdr:rowOff>
    </xdr:to>
    <xdr:pic>
      <xdr:nvPicPr>
        <xdr:cNvPr id="17" name="Picture 16" descr="hops.jpg"/>
        <xdr:cNvPicPr>
          <a:picLocks noChangeAspect="1"/>
        </xdr:cNvPicPr>
      </xdr:nvPicPr>
      <xdr:blipFill>
        <a:blip xmlns:r="http://schemas.openxmlformats.org/officeDocument/2006/relationships" r:embed="rId13" cstate="print"/>
        <a:stretch>
          <a:fillRect/>
        </a:stretch>
      </xdr:blipFill>
      <xdr:spPr>
        <a:xfrm>
          <a:off x="8236246" y="35090100"/>
          <a:ext cx="1085554" cy="584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15</xdr:col>
      <xdr:colOff>22860</xdr:colOff>
      <xdr:row>55</xdr:row>
      <xdr:rowOff>174307</xdr:rowOff>
    </xdr:from>
    <xdr:to>
      <xdr:col>15</xdr:col>
      <xdr:colOff>203200</xdr:colOff>
      <xdr:row>77</xdr:row>
      <xdr:rowOff>165100</xdr:rowOff>
    </xdr:to>
    <xdr:sp macro="" textlink="">
      <xdr:nvSpPr>
        <xdr:cNvPr id="2" name="AutoShape 4104">
          <a:extLst>
            <a:ext uri="{FF2B5EF4-FFF2-40B4-BE49-F238E27FC236}">
              <a16:creationId xmlns:a16="http://schemas.microsoft.com/office/drawing/2014/main" xmlns="" id="{00000000-0008-0000-0500-000002000000}"/>
            </a:ext>
          </a:extLst>
        </xdr:cNvPr>
        <xdr:cNvSpPr>
          <a:spLocks/>
        </xdr:cNvSpPr>
      </xdr:nvSpPr>
      <xdr:spPr bwMode="auto">
        <a:xfrm>
          <a:off x="10843260" y="10359707"/>
          <a:ext cx="180340" cy="3927793"/>
        </a:xfrm>
        <a:prstGeom prst="rightBrace">
          <a:avLst>
            <a:gd name="adj1" fmla="val 33750"/>
            <a:gd name="adj2" fmla="val 50315"/>
          </a:avLst>
        </a:prstGeom>
        <a:noFill/>
        <a:ln w="9525">
          <a:solidFill>
            <a:srgbClr val="000000"/>
          </a:solidFill>
          <a:round/>
          <a:headEnd/>
          <a:tailEnd/>
        </a:ln>
      </xdr:spPr>
    </xdr:sp>
    <xdr:clientData/>
  </xdr:twoCellAnchor>
  <xdr:twoCellAnchor>
    <xdr:from>
      <xdr:col>0</xdr:col>
      <xdr:colOff>38100</xdr:colOff>
      <xdr:row>89</xdr:row>
      <xdr:rowOff>22860</xdr:rowOff>
    </xdr:from>
    <xdr:to>
      <xdr:col>7</xdr:col>
      <xdr:colOff>0</xdr:colOff>
      <xdr:row>140</xdr:row>
      <xdr:rowOff>99060</xdr:rowOff>
    </xdr:to>
    <xdr:sp macro="" textlink="">
      <xdr:nvSpPr>
        <xdr:cNvPr id="3" name="Text Box 19">
          <a:extLst>
            <a:ext uri="{FF2B5EF4-FFF2-40B4-BE49-F238E27FC236}">
              <a16:creationId xmlns:a16="http://schemas.microsoft.com/office/drawing/2014/main" xmlns="" id="{00000000-0008-0000-0500-000003000000}"/>
            </a:ext>
          </a:extLst>
        </xdr:cNvPr>
        <xdr:cNvSpPr txBox="1">
          <a:spLocks noChangeArrowheads="1"/>
        </xdr:cNvSpPr>
      </xdr:nvSpPr>
      <xdr:spPr bwMode="auto">
        <a:xfrm>
          <a:off x="38100" y="16602313"/>
          <a:ext cx="5409009" cy="9497020"/>
        </a:xfrm>
        <a:prstGeom prst="rect">
          <a:avLst/>
        </a:prstGeom>
        <a:solidFill>
          <a:srgbClr val="FFFFFF"/>
        </a:solidFill>
        <a:ln w="9525">
          <a:solidFill>
            <a:srgbClr val="808080"/>
          </a:solidFill>
          <a:miter lim="800000"/>
          <a:headEnd/>
          <a:tailEnd/>
        </a:ln>
      </xdr:spPr>
      <xdr:txBody>
        <a:bodyPr/>
        <a:lstStyle/>
        <a:p>
          <a:endParaRPr lang="en-GB"/>
        </a:p>
      </xdr:txBody>
    </xdr:sp>
    <xdr:clientData/>
  </xdr:twoCellAnchor>
  <xdr:twoCellAnchor>
    <xdr:from>
      <xdr:col>15</xdr:col>
      <xdr:colOff>22542</xdr:colOff>
      <xdr:row>82</xdr:row>
      <xdr:rowOff>2222</xdr:rowOff>
    </xdr:from>
    <xdr:to>
      <xdr:col>15</xdr:col>
      <xdr:colOff>190500</xdr:colOff>
      <xdr:row>98</xdr:row>
      <xdr:rowOff>0</xdr:rowOff>
    </xdr:to>
    <xdr:sp macro="" textlink="">
      <xdr:nvSpPr>
        <xdr:cNvPr id="4" name="AutoShape 4104">
          <a:extLst>
            <a:ext uri="{FF2B5EF4-FFF2-40B4-BE49-F238E27FC236}">
              <a16:creationId xmlns:a16="http://schemas.microsoft.com/office/drawing/2014/main" xmlns="" id="{00000000-0008-0000-0500-000004000000}"/>
            </a:ext>
          </a:extLst>
        </xdr:cNvPr>
        <xdr:cNvSpPr>
          <a:spLocks/>
        </xdr:cNvSpPr>
      </xdr:nvSpPr>
      <xdr:spPr bwMode="auto">
        <a:xfrm>
          <a:off x="10842942" y="14480222"/>
          <a:ext cx="167958" cy="2842578"/>
        </a:xfrm>
        <a:prstGeom prst="rightBrace">
          <a:avLst>
            <a:gd name="adj1" fmla="val 33750"/>
            <a:gd name="adj2" fmla="val 50315"/>
          </a:avLst>
        </a:prstGeom>
        <a:noFill/>
        <a:ln w="9525">
          <a:solidFill>
            <a:srgbClr val="000000"/>
          </a:solidFill>
          <a:round/>
          <a:headEnd/>
          <a:tailEnd/>
        </a:ln>
      </xdr:spPr>
    </xdr:sp>
    <xdr:clientData/>
  </xdr:twoCellAnchor>
  <xdr:twoCellAnchor>
    <xdr:from>
      <xdr:col>15</xdr:col>
      <xdr:colOff>23813</xdr:colOff>
      <xdr:row>99</xdr:row>
      <xdr:rowOff>7936</xdr:rowOff>
    </xdr:from>
    <xdr:to>
      <xdr:col>15</xdr:col>
      <xdr:colOff>177800</xdr:colOff>
      <xdr:row>112</xdr:row>
      <xdr:rowOff>12700</xdr:rowOff>
    </xdr:to>
    <xdr:sp macro="" textlink="">
      <xdr:nvSpPr>
        <xdr:cNvPr id="5" name="AutoShape 4104">
          <a:extLst>
            <a:ext uri="{FF2B5EF4-FFF2-40B4-BE49-F238E27FC236}">
              <a16:creationId xmlns:a16="http://schemas.microsoft.com/office/drawing/2014/main" xmlns="" id="{00000000-0008-0000-0500-000005000000}"/>
            </a:ext>
          </a:extLst>
        </xdr:cNvPr>
        <xdr:cNvSpPr>
          <a:spLocks/>
        </xdr:cNvSpPr>
      </xdr:nvSpPr>
      <xdr:spPr bwMode="auto">
        <a:xfrm>
          <a:off x="10844213" y="17521236"/>
          <a:ext cx="153987" cy="2417764"/>
        </a:xfrm>
        <a:prstGeom prst="rightBrace">
          <a:avLst>
            <a:gd name="adj1" fmla="val 33750"/>
            <a:gd name="adj2" fmla="val 50315"/>
          </a:avLst>
        </a:prstGeom>
        <a:noFill/>
        <a:ln w="9525">
          <a:solidFill>
            <a:srgbClr val="000000"/>
          </a:solidFill>
          <a:round/>
          <a:headEnd/>
          <a:tailEnd/>
        </a:ln>
      </xdr:spPr>
      <xdr:txBody>
        <a:bodyPr/>
        <a:lstStyle/>
        <a:p>
          <a:endParaRPr lang="en-GB"/>
        </a:p>
        <a:p>
          <a:endParaRPr lang="en-GB"/>
        </a:p>
      </xdr:txBody>
    </xdr:sp>
    <xdr:clientData/>
  </xdr:twoCellAnchor>
  <xdr:twoCellAnchor>
    <xdr:from>
      <xdr:col>15</xdr:col>
      <xdr:colOff>23813</xdr:colOff>
      <xdr:row>112</xdr:row>
      <xdr:rowOff>174624</xdr:rowOff>
    </xdr:from>
    <xdr:to>
      <xdr:col>15</xdr:col>
      <xdr:colOff>165100</xdr:colOff>
      <xdr:row>128</xdr:row>
      <xdr:rowOff>152400</xdr:rowOff>
    </xdr:to>
    <xdr:sp macro="" textlink="">
      <xdr:nvSpPr>
        <xdr:cNvPr id="6" name="AutoShape 4104">
          <a:extLst>
            <a:ext uri="{FF2B5EF4-FFF2-40B4-BE49-F238E27FC236}">
              <a16:creationId xmlns:a16="http://schemas.microsoft.com/office/drawing/2014/main" xmlns="" id="{00000000-0008-0000-0500-000006000000}"/>
            </a:ext>
          </a:extLst>
        </xdr:cNvPr>
        <xdr:cNvSpPr>
          <a:spLocks/>
        </xdr:cNvSpPr>
      </xdr:nvSpPr>
      <xdr:spPr bwMode="auto">
        <a:xfrm>
          <a:off x="10844213" y="20647024"/>
          <a:ext cx="141287" cy="2911476"/>
        </a:xfrm>
        <a:prstGeom prst="rightBrace">
          <a:avLst>
            <a:gd name="adj1" fmla="val 33750"/>
            <a:gd name="adj2" fmla="val 50315"/>
          </a:avLst>
        </a:prstGeom>
        <a:noFill/>
        <a:ln w="9525">
          <a:solidFill>
            <a:srgbClr val="000000"/>
          </a:solidFill>
          <a:round/>
          <a:headEnd/>
          <a:tailEnd/>
        </a:ln>
      </xdr:spPr>
    </xdr:sp>
    <xdr:clientData/>
  </xdr:twoCellAnchor>
  <xdr:twoCellAnchor>
    <xdr:from>
      <xdr:col>15</xdr:col>
      <xdr:colOff>7938</xdr:colOff>
      <xdr:row>129</xdr:row>
      <xdr:rowOff>174623</xdr:rowOff>
    </xdr:from>
    <xdr:to>
      <xdr:col>15</xdr:col>
      <xdr:colOff>169938</xdr:colOff>
      <xdr:row>172</xdr:row>
      <xdr:rowOff>158751</xdr:rowOff>
    </xdr:to>
    <xdr:sp macro="" textlink="">
      <xdr:nvSpPr>
        <xdr:cNvPr id="7" name="AutoShape 4104">
          <a:extLst>
            <a:ext uri="{FF2B5EF4-FFF2-40B4-BE49-F238E27FC236}">
              <a16:creationId xmlns:a16="http://schemas.microsoft.com/office/drawing/2014/main" xmlns="" id="{00000000-0008-0000-0500-000007000000}"/>
            </a:ext>
          </a:extLst>
        </xdr:cNvPr>
        <xdr:cNvSpPr>
          <a:spLocks/>
        </xdr:cNvSpPr>
      </xdr:nvSpPr>
      <xdr:spPr bwMode="auto">
        <a:xfrm>
          <a:off x="10723563" y="17548223"/>
          <a:ext cx="162000" cy="6642103"/>
        </a:xfrm>
        <a:prstGeom prst="rightBrace">
          <a:avLst>
            <a:gd name="adj1" fmla="val 33750"/>
            <a:gd name="adj2" fmla="val 44496"/>
          </a:avLst>
        </a:prstGeom>
        <a:no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81757</xdr:colOff>
      <xdr:row>63</xdr:row>
      <xdr:rowOff>51092</xdr:rowOff>
    </xdr:from>
    <xdr:to>
      <xdr:col>7</xdr:col>
      <xdr:colOff>774700</xdr:colOff>
      <xdr:row>69</xdr:row>
      <xdr:rowOff>165100</xdr:rowOff>
    </xdr:to>
    <xdr:pic>
      <xdr:nvPicPr>
        <xdr:cNvPr id="6" name="Picture 5">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1"/>
        <a:stretch>
          <a:fillRect/>
        </a:stretch>
      </xdr:blipFill>
      <xdr:spPr>
        <a:xfrm>
          <a:off x="5415757" y="13703592"/>
          <a:ext cx="2255043" cy="1485608"/>
        </a:xfrm>
        <a:prstGeom prst="rect">
          <a:avLst/>
        </a:prstGeom>
      </xdr:spPr>
    </xdr:pic>
    <xdr:clientData/>
  </xdr:twoCellAnchor>
  <xdr:twoCellAnchor>
    <xdr:from>
      <xdr:col>0</xdr:col>
      <xdr:colOff>0</xdr:colOff>
      <xdr:row>16</xdr:row>
      <xdr:rowOff>18891</xdr:rowOff>
    </xdr:from>
    <xdr:to>
      <xdr:col>8</xdr:col>
      <xdr:colOff>520700</xdr:colOff>
      <xdr:row>18</xdr:row>
      <xdr:rowOff>50800</xdr:rowOff>
    </xdr:to>
    <xdr:pic>
      <xdr:nvPicPr>
        <xdr:cNvPr id="2" name="Picture 206">
          <a:extLst>
            <a:ext uri="{FF2B5EF4-FFF2-40B4-BE49-F238E27FC236}">
              <a16:creationId xmlns:a16="http://schemas.microsoft.com/office/drawing/2014/main" xmlns="" id="{00000000-0008-0000-0700-000002000000}"/>
            </a:ext>
          </a:extLst>
        </xdr:cNvPr>
        <xdr:cNvPicPr>
          <a:picLocks noRot="1" noChangeAspect="1" noChangeArrowheads="1"/>
        </xdr:cNvPicPr>
      </xdr:nvPicPr>
      <xdr:blipFill>
        <a:blip xmlns:r="http://schemas.openxmlformats.org/officeDocument/2006/relationships" r:embed="rId2" cstate="print"/>
        <a:srcRect l="387"/>
        <a:stretch>
          <a:fillRect/>
        </a:stretch>
      </xdr:blipFill>
      <xdr:spPr bwMode="auto">
        <a:xfrm>
          <a:off x="0" y="3524091"/>
          <a:ext cx="8280400" cy="501809"/>
        </a:xfrm>
        <a:prstGeom prst="rect">
          <a:avLst/>
        </a:prstGeom>
        <a:noFill/>
        <a:ln w="9525">
          <a:noFill/>
          <a:miter lim="800000"/>
          <a:headEnd/>
          <a:tailEnd/>
        </a:ln>
      </xdr:spPr>
    </xdr:pic>
    <xdr:clientData/>
  </xdr:twoCellAnchor>
  <xdr:twoCellAnchor editAs="oneCell">
    <xdr:from>
      <xdr:col>6</xdr:col>
      <xdr:colOff>611453</xdr:colOff>
      <xdr:row>70</xdr:row>
      <xdr:rowOff>159239</xdr:rowOff>
    </xdr:from>
    <xdr:to>
      <xdr:col>6</xdr:col>
      <xdr:colOff>1551251</xdr:colOff>
      <xdr:row>75</xdr:row>
      <xdr:rowOff>27127</xdr:rowOff>
    </xdr:to>
    <xdr:pic>
      <xdr:nvPicPr>
        <xdr:cNvPr id="4" name="Picture 3" descr="S9A3ADGBXB-2 copy.png">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3" cstate="print"/>
        <a:stretch>
          <a:fillRect/>
        </a:stretch>
      </xdr:blipFill>
      <xdr:spPr>
        <a:xfrm>
          <a:off x="5945453" y="15323039"/>
          <a:ext cx="939798" cy="947388"/>
        </a:xfrm>
        <a:prstGeom prst="rect">
          <a:avLst/>
        </a:prstGeom>
      </xdr:spPr>
    </xdr:pic>
    <xdr:clientData/>
  </xdr:twoCellAnchor>
  <xdr:twoCellAnchor>
    <xdr:from>
      <xdr:col>12</xdr:col>
      <xdr:colOff>37624</xdr:colOff>
      <xdr:row>3</xdr:row>
      <xdr:rowOff>17440</xdr:rowOff>
    </xdr:from>
    <xdr:to>
      <xdr:col>12</xdr:col>
      <xdr:colOff>116824</xdr:colOff>
      <xdr:row>5</xdr:row>
      <xdr:rowOff>5049</xdr:rowOff>
    </xdr:to>
    <xdr:sp macro="" textlink="" fLocksText="0">
      <xdr:nvSpPr>
        <xdr:cNvPr id="5" name="Right Brace 4">
          <a:extLst>
            <a:ext uri="{FF2B5EF4-FFF2-40B4-BE49-F238E27FC236}">
              <a16:creationId xmlns:a16="http://schemas.microsoft.com/office/drawing/2014/main" xmlns="" id="{00000000-0008-0000-0700-000005000000}"/>
            </a:ext>
          </a:extLst>
        </xdr:cNvPr>
        <xdr:cNvSpPr>
          <a:spLocks/>
        </xdr:cNvSpPr>
      </xdr:nvSpPr>
      <xdr:spPr bwMode="auto">
        <a:xfrm>
          <a:off x="10448449" y="960415"/>
          <a:ext cx="79200" cy="406709"/>
        </a:xfrm>
        <a:prstGeom prst="rightBrace">
          <a:avLst>
            <a:gd name="adj1" fmla="val 25980"/>
            <a:gd name="adj2" fmla="val 49228"/>
          </a:avLst>
        </a:prstGeom>
        <a:no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GB" sz="1100"/>
        </a:p>
      </xdr:txBody>
    </xdr:sp>
    <xdr:clientData fLocksWithSheet="0"/>
  </xdr:twoCellAnchor>
  <xdr:twoCellAnchor editAs="oneCell">
    <xdr:from>
      <xdr:col>6</xdr:col>
      <xdr:colOff>769828</xdr:colOff>
      <xdr:row>21</xdr:row>
      <xdr:rowOff>26096</xdr:rowOff>
    </xdr:from>
    <xdr:to>
      <xdr:col>7</xdr:col>
      <xdr:colOff>35060</xdr:colOff>
      <xdr:row>23</xdr:row>
      <xdr:rowOff>200547</xdr:rowOff>
    </xdr:to>
    <xdr:pic>
      <xdr:nvPicPr>
        <xdr:cNvPr id="7" name="Picture 6" descr="images1.jpg"/>
        <xdr:cNvPicPr>
          <a:picLocks noChangeAspect="1"/>
        </xdr:cNvPicPr>
      </xdr:nvPicPr>
      <xdr:blipFill>
        <a:blip xmlns:r="http://schemas.openxmlformats.org/officeDocument/2006/relationships" r:embed="rId4" cstate="print"/>
        <a:stretch>
          <a:fillRect/>
        </a:stretch>
      </xdr:blipFill>
      <xdr:spPr>
        <a:xfrm>
          <a:off x="6080342" y="4279726"/>
          <a:ext cx="830985" cy="5919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507118</xdr:colOff>
      <xdr:row>71</xdr:row>
      <xdr:rowOff>94522</xdr:rowOff>
    </xdr:from>
    <xdr:to>
      <xdr:col>3</xdr:col>
      <xdr:colOff>278518</xdr:colOff>
      <xdr:row>71</xdr:row>
      <xdr:rowOff>94522</xdr:rowOff>
    </xdr:to>
    <xdr:sp macro="" textlink="">
      <xdr:nvSpPr>
        <xdr:cNvPr id="2" name="Line 2">
          <a:extLst>
            <a:ext uri="{FF2B5EF4-FFF2-40B4-BE49-F238E27FC236}">
              <a16:creationId xmlns:a16="http://schemas.microsoft.com/office/drawing/2014/main" xmlns="" id="{00000000-0008-0000-0800-000003000000}"/>
            </a:ext>
          </a:extLst>
        </xdr:cNvPr>
        <xdr:cNvSpPr>
          <a:spLocks noChangeShapeType="1"/>
        </xdr:cNvSpPr>
      </xdr:nvSpPr>
      <xdr:spPr bwMode="auto">
        <a:xfrm>
          <a:off x="1954918" y="14610622"/>
          <a:ext cx="590550" cy="0"/>
        </a:xfrm>
        <a:prstGeom prst="line">
          <a:avLst/>
        </a:prstGeom>
        <a:noFill/>
        <a:ln w="9525">
          <a:solidFill>
            <a:srgbClr val="000000"/>
          </a:solidFill>
          <a:round/>
          <a:headEnd/>
          <a:tailEnd type="triangle" w="med" len="med"/>
        </a:ln>
      </xdr:spPr>
    </xdr:sp>
    <xdr:clientData/>
  </xdr:twoCellAnchor>
  <xdr:twoCellAnchor>
    <xdr:from>
      <xdr:col>2</xdr:col>
      <xdr:colOff>514738</xdr:colOff>
      <xdr:row>78</xdr:row>
      <xdr:rowOff>111218</xdr:rowOff>
    </xdr:from>
    <xdr:to>
      <xdr:col>3</xdr:col>
      <xdr:colOff>286138</xdr:colOff>
      <xdr:row>78</xdr:row>
      <xdr:rowOff>111218</xdr:rowOff>
    </xdr:to>
    <xdr:sp macro="" textlink="">
      <xdr:nvSpPr>
        <xdr:cNvPr id="3" name="Line 2">
          <a:extLst>
            <a:ext uri="{FF2B5EF4-FFF2-40B4-BE49-F238E27FC236}">
              <a16:creationId xmlns:a16="http://schemas.microsoft.com/office/drawing/2014/main" xmlns="" id="{00000000-0008-0000-0800-000004000000}"/>
            </a:ext>
          </a:extLst>
        </xdr:cNvPr>
        <xdr:cNvSpPr>
          <a:spLocks noChangeShapeType="1"/>
        </xdr:cNvSpPr>
      </xdr:nvSpPr>
      <xdr:spPr bwMode="auto">
        <a:xfrm>
          <a:off x="1962538" y="16227518"/>
          <a:ext cx="590550" cy="0"/>
        </a:xfrm>
        <a:prstGeom prst="line">
          <a:avLst/>
        </a:prstGeom>
        <a:noFill/>
        <a:ln w="9525">
          <a:solidFill>
            <a:srgbClr val="000000"/>
          </a:solidFill>
          <a:round/>
          <a:headEnd/>
          <a:tailEnd type="triangle" w="med" len="med"/>
        </a:ln>
      </xdr:spPr>
      <xdr:txBody>
        <a:bodyPr/>
        <a:lstStyle/>
        <a:p>
          <a:endParaRPr lang="en-GB"/>
        </a:p>
        <a:p>
          <a:endParaRPr lang="en-GB"/>
        </a:p>
      </xdr:txBody>
    </xdr:sp>
    <xdr:clientData/>
  </xdr:twoCellAnchor>
  <xdr:twoCellAnchor>
    <xdr:from>
      <xdr:col>4</xdr:col>
      <xdr:colOff>352178</xdr:colOff>
      <xdr:row>71</xdr:row>
      <xdr:rowOff>99602</xdr:rowOff>
    </xdr:from>
    <xdr:to>
      <xdr:col>4</xdr:col>
      <xdr:colOff>760433</xdr:colOff>
      <xdr:row>71</xdr:row>
      <xdr:rowOff>99602</xdr:rowOff>
    </xdr:to>
    <xdr:sp macro="" textlink="">
      <xdr:nvSpPr>
        <xdr:cNvPr id="4" name="Line 2">
          <a:extLst>
            <a:ext uri="{FF2B5EF4-FFF2-40B4-BE49-F238E27FC236}">
              <a16:creationId xmlns:a16="http://schemas.microsoft.com/office/drawing/2014/main" xmlns="" id="{00000000-0008-0000-0800-000003000000}"/>
            </a:ext>
          </a:extLst>
        </xdr:cNvPr>
        <xdr:cNvSpPr>
          <a:spLocks noChangeShapeType="1"/>
        </xdr:cNvSpPr>
      </xdr:nvSpPr>
      <xdr:spPr bwMode="auto">
        <a:xfrm>
          <a:off x="3438278" y="14615702"/>
          <a:ext cx="408255" cy="0"/>
        </a:xfrm>
        <a:prstGeom prst="line">
          <a:avLst/>
        </a:prstGeom>
        <a:noFill/>
        <a:ln w="9525">
          <a:solidFill>
            <a:srgbClr val="000000"/>
          </a:solidFill>
          <a:round/>
          <a:headEnd/>
          <a:tailEnd type="triangle" w="med" len="me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david.barrow@live.co.uk" TargetMode="External"/><Relationship Id="rId2" Type="http://schemas.openxmlformats.org/officeDocument/2006/relationships/hyperlink" Target="mailto:jamesbsmith@hotmail.com" TargetMode="External"/><Relationship Id="rId1" Type="http://schemas.openxmlformats.org/officeDocument/2006/relationships/hyperlink" Target="http://www.petespintpot.co.uk/" TargetMode="External"/><Relationship Id="rId5" Type="http://schemas.openxmlformats.org/officeDocument/2006/relationships/printerSettings" Target="../printerSettings/printerSettings1.bin"/><Relationship Id="rId4" Type="http://schemas.openxmlformats.org/officeDocument/2006/relationships/hyperlink" Target="http://www.yobrew.co.uk/"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www.colchesterhomebrew.co.uk/" TargetMode="External"/><Relationship Id="rId2" Type="http://schemas.openxmlformats.org/officeDocument/2006/relationships/hyperlink" Target="http://www.petespintpot.co.uk/" TargetMode="External"/><Relationship Id="rId1" Type="http://schemas.openxmlformats.org/officeDocument/2006/relationships/hyperlink" Target="http://www.petespintpot.co.uk/" TargetMode="External"/><Relationship Id="rId6" Type="http://schemas.openxmlformats.org/officeDocument/2006/relationships/drawing" Target="../drawings/drawing10.xml"/><Relationship Id="rId5" Type="http://schemas.openxmlformats.org/officeDocument/2006/relationships/printerSettings" Target="../printerSettings/printerSettings10.bin"/><Relationship Id="rId4" Type="http://schemas.openxmlformats.org/officeDocument/2006/relationships/hyperlink" Target="http://www.yobrew.co.uk/"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bjcp.org/stylecenter.php" TargetMode="External"/><Relationship Id="rId1" Type="http://schemas.openxmlformats.org/officeDocument/2006/relationships/hyperlink" Target="http://www.petespintpot.co.uk/" TargetMode="External"/><Relationship Id="rId4"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hyperlink" Target="http://www.petespintpot.co.uk/health.html" TargetMode="External"/><Relationship Id="rId2" Type="http://schemas.openxmlformats.org/officeDocument/2006/relationships/hyperlink" Target="http://www.petespintpot.co.uk/health.html" TargetMode="External"/><Relationship Id="rId1" Type="http://schemas.openxmlformats.org/officeDocument/2006/relationships/hyperlink" Target="http://www.petespintpot.co.uk/" TargetMode="Externa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www.petespintpot.co.uk/health.html" TargetMode="External"/><Relationship Id="rId3" Type="http://schemas.openxmlformats.org/officeDocument/2006/relationships/hyperlink" Target="mailto:david.barrow@live.co.uk" TargetMode="External"/><Relationship Id="rId7" Type="http://schemas.openxmlformats.org/officeDocument/2006/relationships/hyperlink" Target="http://www.petespintpot.co.uk/kitmod.html" TargetMode="External"/><Relationship Id="rId2" Type="http://schemas.openxmlformats.org/officeDocument/2006/relationships/hyperlink" Target="http://www.petespintpot.co.uk/" TargetMode="External"/><Relationship Id="rId1" Type="http://schemas.openxmlformats.org/officeDocument/2006/relationships/hyperlink" Target="http://www.petespintpot.co.uk/" TargetMode="External"/><Relationship Id="rId6" Type="http://schemas.openxmlformats.org/officeDocument/2006/relationships/hyperlink" Target="http://www.winning-homebrew.com/brewing-sugars.html" TargetMode="External"/><Relationship Id="rId11" Type="http://schemas.openxmlformats.org/officeDocument/2006/relationships/drawing" Target="../drawings/drawing2.xml"/><Relationship Id="rId5" Type="http://schemas.openxmlformats.org/officeDocument/2006/relationships/hyperlink" Target="http://www.petespintpot.co.uk/diabetic.html" TargetMode="External"/><Relationship Id="rId10" Type="http://schemas.openxmlformats.org/officeDocument/2006/relationships/printerSettings" Target="../printerSettings/printerSettings3.bin"/><Relationship Id="rId4" Type="http://schemas.openxmlformats.org/officeDocument/2006/relationships/hyperlink" Target="http://www.petespintpot.co.uk/health.html" TargetMode="External"/><Relationship Id="rId9" Type="http://schemas.openxmlformats.org/officeDocument/2006/relationships/hyperlink" Target="http://www.petespintpot.co.uk/diabetic.htm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yobrew.co.uk/" TargetMode="External"/><Relationship Id="rId13" Type="http://schemas.openxmlformats.org/officeDocument/2006/relationships/drawing" Target="../drawings/drawing3.xml"/><Relationship Id="rId3" Type="http://schemas.openxmlformats.org/officeDocument/2006/relationships/hyperlink" Target="http://www.colchesterhomebrew.co.uk/" TargetMode="External"/><Relationship Id="rId7" Type="http://schemas.openxmlformats.org/officeDocument/2006/relationships/hyperlink" Target="http://www.petespintpot.co.uk/" TargetMode="External"/><Relationship Id="rId12" Type="http://schemas.openxmlformats.org/officeDocument/2006/relationships/printerSettings" Target="../printerSettings/printerSettings4.bin"/><Relationship Id="rId2" Type="http://schemas.openxmlformats.org/officeDocument/2006/relationships/hyperlink" Target="http://www.petespintpot.co.uk/" TargetMode="External"/><Relationship Id="rId1" Type="http://schemas.openxmlformats.org/officeDocument/2006/relationships/hyperlink" Target="http://www.yobrew.co.uk/" TargetMode="External"/><Relationship Id="rId6" Type="http://schemas.openxmlformats.org/officeDocument/2006/relationships/hyperlink" Target="http://www.petespintpot.co.uk/" TargetMode="External"/><Relationship Id="rId11" Type="http://schemas.openxmlformats.org/officeDocument/2006/relationships/hyperlink" Target="mailto:david.barrow@live.co.uk" TargetMode="External"/><Relationship Id="rId5" Type="http://schemas.openxmlformats.org/officeDocument/2006/relationships/hyperlink" Target="http://www.yobrew.co.uk/" TargetMode="External"/><Relationship Id="rId10" Type="http://schemas.openxmlformats.org/officeDocument/2006/relationships/hyperlink" Target="mailto:david.barrow@live.co.uk" TargetMode="External"/><Relationship Id="rId4" Type="http://schemas.openxmlformats.org/officeDocument/2006/relationships/hyperlink" Target="http://www.yobrew.co.uk/" TargetMode="External"/><Relationship Id="rId9" Type="http://schemas.openxmlformats.org/officeDocument/2006/relationships/hyperlink" Target="http://www.yobrew.co.uk/"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yobrew.co.uk/" TargetMode="External"/><Relationship Id="rId7" Type="http://schemas.openxmlformats.org/officeDocument/2006/relationships/drawing" Target="../drawings/drawing4.xml"/><Relationship Id="rId2" Type="http://schemas.openxmlformats.org/officeDocument/2006/relationships/hyperlink" Target="http://www.colchesterhomebrew.co.uk/" TargetMode="External"/><Relationship Id="rId1" Type="http://schemas.openxmlformats.org/officeDocument/2006/relationships/hyperlink" Target="http://www.petespintpot.co.uk/" TargetMode="External"/><Relationship Id="rId6" Type="http://schemas.openxmlformats.org/officeDocument/2006/relationships/printerSettings" Target="../printerSettings/printerSettings5.bin"/><Relationship Id="rId5" Type="http://schemas.openxmlformats.org/officeDocument/2006/relationships/hyperlink" Target="mailto:david.barrow@live.co.uk" TargetMode="External"/><Relationship Id="rId4" Type="http://schemas.openxmlformats.org/officeDocument/2006/relationships/hyperlink" Target="http://www.petespintpot.co.uk/"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mailto:david.barrow@live.co.uk" TargetMode="External"/><Relationship Id="rId3" Type="http://schemas.openxmlformats.org/officeDocument/2006/relationships/hyperlink" Target="http://www.petespintpot.co.uk/piggybeer.html" TargetMode="External"/><Relationship Id="rId7" Type="http://schemas.openxmlformats.org/officeDocument/2006/relationships/hyperlink" Target="http://www.colchesterhomebrew.co.uk/" TargetMode="External"/><Relationship Id="rId12" Type="http://schemas.openxmlformats.org/officeDocument/2006/relationships/drawing" Target="../drawings/drawing6.xml"/><Relationship Id="rId2" Type="http://schemas.openxmlformats.org/officeDocument/2006/relationships/hyperlink" Target="http://www.petespintpot.co.uk/piggybeer.html" TargetMode="External"/><Relationship Id="rId1" Type="http://schemas.openxmlformats.org/officeDocument/2006/relationships/hyperlink" Target="http://www.petespintpot.co.uk/" TargetMode="External"/><Relationship Id="rId6" Type="http://schemas.openxmlformats.org/officeDocument/2006/relationships/hyperlink" Target="http://www.petespintpot.co.uk/piggybeer.html" TargetMode="External"/><Relationship Id="rId11" Type="http://schemas.openxmlformats.org/officeDocument/2006/relationships/printerSettings" Target="../printerSettings/printerSettings6.bin"/><Relationship Id="rId5" Type="http://schemas.openxmlformats.org/officeDocument/2006/relationships/hyperlink" Target="http://www.petespintpot.co.uk/piggybeer.html" TargetMode="External"/><Relationship Id="rId10" Type="http://schemas.openxmlformats.org/officeDocument/2006/relationships/hyperlink" Target="mailto:david.barrow@live.co.uk" TargetMode="External"/><Relationship Id="rId4" Type="http://schemas.openxmlformats.org/officeDocument/2006/relationships/hyperlink" Target="http://www.petespintpot.co.uk/piggybeer.html" TargetMode="External"/><Relationship Id="rId9" Type="http://schemas.openxmlformats.org/officeDocument/2006/relationships/hyperlink" Target="http://www.yobrew.co.uk/"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yobrew.co.uk/" TargetMode="External"/><Relationship Id="rId3" Type="http://schemas.openxmlformats.org/officeDocument/2006/relationships/hyperlink" Target="http://www.yobrew.co.uk/" TargetMode="External"/><Relationship Id="rId7" Type="http://schemas.openxmlformats.org/officeDocument/2006/relationships/hyperlink" Target="http://www.yobrew.co.uk/" TargetMode="External"/><Relationship Id="rId2" Type="http://schemas.openxmlformats.org/officeDocument/2006/relationships/hyperlink" Target="http://www.petespintpot.co.uk/" TargetMode="External"/><Relationship Id="rId1" Type="http://schemas.openxmlformats.org/officeDocument/2006/relationships/hyperlink" Target="http://www.petespintpot.co.uk/" TargetMode="External"/><Relationship Id="rId6" Type="http://schemas.openxmlformats.org/officeDocument/2006/relationships/hyperlink" Target="http://www.colchesterhomebrew.co.uk/" TargetMode="External"/><Relationship Id="rId11" Type="http://schemas.openxmlformats.org/officeDocument/2006/relationships/drawing" Target="../drawings/drawing7.xml"/><Relationship Id="rId5" Type="http://schemas.openxmlformats.org/officeDocument/2006/relationships/hyperlink" Target="http://www.petespintpot.co.uk/" TargetMode="External"/><Relationship Id="rId10" Type="http://schemas.openxmlformats.org/officeDocument/2006/relationships/printerSettings" Target="../printerSettings/printerSettings7.bin"/><Relationship Id="rId4" Type="http://schemas.openxmlformats.org/officeDocument/2006/relationships/hyperlink" Target="http://www.petespintpot.co.uk/" TargetMode="External"/><Relationship Id="rId9" Type="http://schemas.openxmlformats.org/officeDocument/2006/relationships/hyperlink" Target="http://www.yobrew.co.uk/" TargetMode="External"/></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www.colchesterhomebrew.co.uk/" TargetMode="External"/><Relationship Id="rId7" Type="http://schemas.openxmlformats.org/officeDocument/2006/relationships/printerSettings" Target="../printerSettings/printerSettings8.bin"/><Relationship Id="rId2" Type="http://schemas.openxmlformats.org/officeDocument/2006/relationships/hyperlink" Target="http://www.petespintpot.co.uk/" TargetMode="External"/><Relationship Id="rId1" Type="http://schemas.openxmlformats.org/officeDocument/2006/relationships/hyperlink" Target="http://www.petespintpot.co.uk/" TargetMode="External"/><Relationship Id="rId6" Type="http://schemas.openxmlformats.org/officeDocument/2006/relationships/hyperlink" Target="http://www.yobrew.co.uk/" TargetMode="External"/><Relationship Id="rId5" Type="http://schemas.openxmlformats.org/officeDocument/2006/relationships/hyperlink" Target="http://www.petespintpot.co.uk/" TargetMode="External"/><Relationship Id="rId4" Type="http://schemas.openxmlformats.org/officeDocument/2006/relationships/hyperlink" Target="http://www.yobrew.co.uk/"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etespintpot.co.uk/" TargetMode="External"/><Relationship Id="rId1" Type="http://schemas.openxmlformats.org/officeDocument/2006/relationships/hyperlink" Target="http://www.petespintpot.co.uk/"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sheetPr>
    <tabColor theme="0"/>
    <pageSetUpPr fitToPage="1"/>
  </sheetPr>
  <dimension ref="A1:G76"/>
  <sheetViews>
    <sheetView showFormulas="1" tabSelected="1" showWhiteSpace="0" zoomScaleSheetLayoutView="100" workbookViewId="0">
      <selection activeCell="J27" sqref="J27"/>
    </sheetView>
  </sheetViews>
  <sheetFormatPr defaultColWidth="7.42578125" defaultRowHeight="15"/>
  <cols>
    <col min="1" max="1" width="1.85546875" style="1214" customWidth="1"/>
    <col min="2" max="2" width="1.5703125" style="1214" customWidth="1"/>
    <col min="3" max="3" width="12.42578125" style="1214" customWidth="1"/>
    <col min="4" max="4" width="6.7109375" style="1214" customWidth="1"/>
    <col min="5" max="5" width="16.28515625" style="1214" customWidth="1"/>
    <col min="6" max="6" width="7.42578125" style="1214" customWidth="1"/>
    <col min="7" max="7" width="0.85546875" style="1214" customWidth="1"/>
    <col min="8" max="16384" width="7.42578125" style="1133"/>
  </cols>
  <sheetData>
    <row r="1" spans="1:7" ht="26.25" customHeight="1">
      <c r="A1" s="3887" t="s">
        <v>1918</v>
      </c>
      <c r="B1" s="3887"/>
      <c r="C1" s="3888" t="s">
        <v>1895</v>
      </c>
      <c r="D1" s="3888"/>
      <c r="E1" s="3888"/>
      <c r="F1" s="2492" t="s">
        <v>1917</v>
      </c>
      <c r="G1" s="1202"/>
    </row>
    <row r="2" spans="1:7" ht="14.25" customHeight="1">
      <c r="A2" s="1203"/>
      <c r="B2" s="1203"/>
      <c r="C2" s="1203"/>
      <c r="D2" s="1204"/>
      <c r="E2" s="3889" t="s">
        <v>1014</v>
      </c>
      <c r="F2" s="3889"/>
      <c r="G2" s="1162"/>
    </row>
    <row r="3" spans="1:7" ht="15.75" customHeight="1">
      <c r="A3" s="3890" t="s">
        <v>1015</v>
      </c>
      <c r="B3" s="3890"/>
      <c r="C3" s="3890"/>
      <c r="D3" s="3890"/>
      <c r="E3" s="3890"/>
      <c r="F3" s="3890"/>
      <c r="G3" s="1162"/>
    </row>
    <row r="4" spans="1:7" ht="23.1" customHeight="1">
      <c r="A4" s="3891" t="s">
        <v>1016</v>
      </c>
      <c r="B4" s="3891"/>
      <c r="C4" s="3891"/>
      <c r="D4" s="3891"/>
      <c r="E4" s="3891"/>
      <c r="F4" s="3891"/>
      <c r="G4" s="1162"/>
    </row>
    <row r="5" spans="1:7" ht="13.5" customHeight="1">
      <c r="A5" s="1205"/>
      <c r="B5" s="1205"/>
      <c r="C5" s="1205"/>
      <c r="D5" s="3892" t="s">
        <v>1017</v>
      </c>
      <c r="E5" s="3892"/>
      <c r="F5" s="3892"/>
      <c r="G5" s="1162"/>
    </row>
    <row r="6" spans="1:7" ht="15" customHeight="1">
      <c r="A6" s="1206"/>
      <c r="B6" s="3893" t="s">
        <v>1018</v>
      </c>
      <c r="C6" s="3893"/>
      <c r="D6" s="3876" t="s">
        <v>1019</v>
      </c>
      <c r="E6" s="3876"/>
      <c r="F6" s="3876"/>
      <c r="G6" s="1207"/>
    </row>
    <row r="7" spans="1:7" ht="11.45" customHeight="1">
      <c r="A7" s="1206"/>
      <c r="B7" s="3741"/>
      <c r="C7" s="3742" t="s">
        <v>1917</v>
      </c>
      <c r="D7" s="3876" t="s">
        <v>1020</v>
      </c>
      <c r="E7" s="3876"/>
      <c r="F7" s="3876"/>
      <c r="G7" s="1207"/>
    </row>
    <row r="8" spans="1:7" ht="11.45" customHeight="1">
      <c r="A8" s="1206"/>
      <c r="B8" s="3743"/>
      <c r="C8" s="3744"/>
      <c r="D8" s="3894" t="s">
        <v>1021</v>
      </c>
      <c r="E8" s="3894"/>
      <c r="F8" s="3894"/>
      <c r="G8" s="1207"/>
    </row>
    <row r="9" spans="1:7" ht="11.45" customHeight="1">
      <c r="A9" s="1206"/>
      <c r="B9" s="3743"/>
      <c r="C9" s="3744"/>
      <c r="D9" s="3886" t="s">
        <v>1022</v>
      </c>
      <c r="E9" s="3886"/>
      <c r="F9" s="3886"/>
      <c r="G9" s="1207"/>
    </row>
    <row r="10" spans="1:7" ht="11.45" customHeight="1">
      <c r="A10" s="1206"/>
      <c r="B10" s="3743"/>
      <c r="C10" s="3744"/>
      <c r="D10" s="3866" t="s">
        <v>1023</v>
      </c>
      <c r="E10" s="3866"/>
      <c r="F10" s="3866"/>
      <c r="G10" s="1207"/>
    </row>
    <row r="11" spans="1:7" ht="11.45" customHeight="1">
      <c r="A11" s="1206"/>
      <c r="B11" s="3743"/>
      <c r="C11" s="3744"/>
      <c r="D11" s="3886" t="s">
        <v>1024</v>
      </c>
      <c r="E11" s="3886"/>
      <c r="F11" s="3886"/>
      <c r="G11" s="1207"/>
    </row>
    <row r="12" spans="1:7" ht="11.45" customHeight="1">
      <c r="A12" s="1206"/>
      <c r="B12" s="3743"/>
      <c r="C12" s="3744"/>
      <c r="D12" s="3886" t="s">
        <v>1025</v>
      </c>
      <c r="E12" s="3886"/>
      <c r="F12" s="3886"/>
      <c r="G12" s="1207"/>
    </row>
    <row r="13" spans="1:7" ht="11.45" customHeight="1">
      <c r="A13" s="1206"/>
      <c r="B13" s="3743"/>
      <c r="C13" s="3744"/>
      <c r="D13" s="3886" t="s">
        <v>1026</v>
      </c>
      <c r="E13" s="3886"/>
      <c r="F13" s="3886"/>
      <c r="G13" s="1207"/>
    </row>
    <row r="14" spans="1:7" ht="11.45" customHeight="1">
      <c r="A14" s="1206"/>
      <c r="B14" s="3743"/>
      <c r="C14" s="3744"/>
      <c r="D14" s="1208"/>
      <c r="E14" s="3885" t="s">
        <v>1935</v>
      </c>
      <c r="F14" s="3885"/>
      <c r="G14" s="1207"/>
    </row>
    <row r="15" spans="1:7" ht="11.45" customHeight="1">
      <c r="A15" s="1206"/>
      <c r="B15" s="3743"/>
      <c r="C15" s="3745"/>
      <c r="D15" s="3870" t="s">
        <v>1876</v>
      </c>
      <c r="E15" s="3870"/>
      <c r="F15" s="3870"/>
      <c r="G15" s="1207"/>
    </row>
    <row r="16" spans="1:7" ht="11.45" customHeight="1">
      <c r="A16" s="1206"/>
      <c r="B16" s="3743"/>
      <c r="C16" s="3746"/>
      <c r="D16" s="3706" t="s">
        <v>1027</v>
      </c>
      <c r="E16" s="3871" t="s">
        <v>1028</v>
      </c>
      <c r="F16" s="3871"/>
      <c r="G16" s="1207"/>
    </row>
    <row r="17" spans="1:7" ht="11.45" customHeight="1">
      <c r="A17" s="1206"/>
      <c r="B17" s="3743"/>
      <c r="C17" s="3746"/>
      <c r="D17" s="1949"/>
      <c r="E17" s="3871" t="s">
        <v>1029</v>
      </c>
      <c r="F17" s="3871"/>
      <c r="G17" s="1207"/>
    </row>
    <row r="18" spans="1:7" ht="11.45" customHeight="1">
      <c r="A18" s="1206"/>
      <c r="B18" s="3743"/>
      <c r="C18" s="3746"/>
      <c r="D18" s="1949"/>
      <c r="E18" s="3871" t="s">
        <v>1030</v>
      </c>
      <c r="F18" s="3871"/>
      <c r="G18" s="1207"/>
    </row>
    <row r="19" spans="1:7" ht="11.45" customHeight="1">
      <c r="A19" s="1206"/>
      <c r="B19" s="3743"/>
      <c r="C19" s="3745"/>
      <c r="D19" s="3871" t="s">
        <v>1004</v>
      </c>
      <c r="E19" s="3871"/>
      <c r="F19" s="3871"/>
      <c r="G19" s="1207"/>
    </row>
    <row r="20" spans="1:7" ht="11.45" customHeight="1">
      <c r="A20" s="1206"/>
      <c r="B20" s="3743"/>
      <c r="C20" s="3745"/>
      <c r="D20" s="3871" t="s">
        <v>1031</v>
      </c>
      <c r="E20" s="3871"/>
      <c r="F20" s="3871"/>
      <c r="G20" s="1207"/>
    </row>
    <row r="21" spans="1:7" ht="11.45" customHeight="1">
      <c r="A21" s="1206"/>
      <c r="B21" s="3743"/>
      <c r="C21" s="3745"/>
      <c r="D21" s="3871" t="s">
        <v>1032</v>
      </c>
      <c r="E21" s="3871"/>
      <c r="F21" s="3871"/>
      <c r="G21" s="1207"/>
    </row>
    <row r="22" spans="1:7" ht="11.45" customHeight="1">
      <c r="A22" s="1206"/>
      <c r="B22" s="3743"/>
      <c r="C22" s="3745"/>
      <c r="D22" s="3878" t="s">
        <v>1033</v>
      </c>
      <c r="E22" s="3878"/>
      <c r="F22" s="3878"/>
      <c r="G22" s="1207"/>
    </row>
    <row r="23" spans="1:7" ht="11.45" customHeight="1">
      <c r="A23" s="1206"/>
      <c r="B23" s="3743"/>
      <c r="C23" s="3745"/>
      <c r="D23" s="3878" t="s">
        <v>1034</v>
      </c>
      <c r="E23" s="3878"/>
      <c r="F23" s="3878"/>
      <c r="G23" s="1207"/>
    </row>
    <row r="24" spans="1:7" ht="11.45" customHeight="1">
      <c r="A24" s="1206"/>
      <c r="B24" s="3743"/>
      <c r="C24" s="3745"/>
      <c r="D24" s="3878" t="s">
        <v>1035</v>
      </c>
      <c r="E24" s="3878"/>
      <c r="F24" s="3878"/>
      <c r="G24" s="1207"/>
    </row>
    <row r="25" spans="1:7" ht="11.45" customHeight="1">
      <c r="A25" s="1206"/>
      <c r="B25" s="3743"/>
      <c r="C25" s="3746"/>
      <c r="D25" s="3878" t="s">
        <v>1758</v>
      </c>
      <c r="E25" s="3878"/>
      <c r="F25" s="3878"/>
      <c r="G25" s="1207"/>
    </row>
    <row r="26" spans="1:7" ht="11.45" customHeight="1">
      <c r="A26" s="1206"/>
      <c r="B26" s="3743"/>
      <c r="C26" s="3746"/>
      <c r="D26" s="3883" t="s">
        <v>1036</v>
      </c>
      <c r="E26" s="3883"/>
      <c r="F26" s="3883"/>
      <c r="G26" s="1207"/>
    </row>
    <row r="27" spans="1:7" ht="11.45" customHeight="1">
      <c r="A27" s="1206"/>
      <c r="B27" s="3743"/>
      <c r="C27" s="3746"/>
      <c r="D27" s="3883" t="s">
        <v>1037</v>
      </c>
      <c r="E27" s="3883"/>
      <c r="F27" s="3883"/>
      <c r="G27" s="1207"/>
    </row>
    <row r="28" spans="1:7" ht="11.45" customHeight="1">
      <c r="A28" s="1206"/>
      <c r="B28" s="3743"/>
      <c r="C28" s="3746"/>
      <c r="D28" s="3883" t="s">
        <v>1038</v>
      </c>
      <c r="E28" s="3883"/>
      <c r="F28" s="3883"/>
      <c r="G28" s="1207"/>
    </row>
    <row r="29" spans="1:7" ht="11.25" customHeight="1">
      <c r="A29" s="1209"/>
      <c r="B29" s="3743"/>
      <c r="C29" s="3747"/>
      <c r="D29" s="3884"/>
      <c r="E29" s="3884"/>
      <c r="F29" s="3884"/>
      <c r="G29" s="1207"/>
    </row>
    <row r="30" spans="1:7" ht="15" customHeight="1">
      <c r="A30" s="1209"/>
      <c r="B30" s="3880" t="s">
        <v>1039</v>
      </c>
      <c r="C30" s="3880"/>
      <c r="D30" s="3876" t="s">
        <v>1677</v>
      </c>
      <c r="E30" s="3876"/>
      <c r="F30" s="3876"/>
      <c r="G30" s="1207"/>
    </row>
    <row r="31" spans="1:7" ht="11.25" customHeight="1">
      <c r="A31" s="1209"/>
      <c r="B31" s="3743"/>
      <c r="C31" s="3742" t="s">
        <v>1917</v>
      </c>
      <c r="D31" s="3881" t="s">
        <v>816</v>
      </c>
      <c r="E31" s="3881"/>
      <c r="F31" s="3881"/>
      <c r="G31" s="1207"/>
    </row>
    <row r="32" spans="1:7" ht="12" customHeight="1">
      <c r="A32" s="1209"/>
      <c r="B32" s="3743"/>
      <c r="C32" s="3744"/>
      <c r="D32" s="3881" t="s">
        <v>1040</v>
      </c>
      <c r="E32" s="3881"/>
      <c r="F32" s="3881"/>
      <c r="G32" s="1207"/>
    </row>
    <row r="33" spans="1:7" ht="11.45" customHeight="1">
      <c r="A33" s="1209"/>
      <c r="B33" s="3748"/>
      <c r="C33" s="3745"/>
      <c r="D33" s="3881" t="s">
        <v>1004</v>
      </c>
      <c r="E33" s="3881"/>
      <c r="F33" s="3881"/>
      <c r="G33" s="1207"/>
    </row>
    <row r="34" spans="1:7" ht="11.45" customHeight="1">
      <c r="A34" s="1210"/>
      <c r="B34" s="3748"/>
      <c r="C34" s="3745"/>
      <c r="D34" s="3872"/>
      <c r="E34" s="3872"/>
      <c r="F34" s="3872"/>
      <c r="G34" s="1207"/>
    </row>
    <row r="35" spans="1:7" ht="15" customHeight="1">
      <c r="A35" s="1210"/>
      <c r="B35" s="3862" t="s">
        <v>1041</v>
      </c>
      <c r="C35" s="3862"/>
      <c r="D35" s="3872" t="s">
        <v>1042</v>
      </c>
      <c r="E35" s="3872"/>
      <c r="F35" s="3872"/>
      <c r="G35" s="1207"/>
    </row>
    <row r="36" spans="1:7" ht="11.45" customHeight="1">
      <c r="A36" s="1210"/>
      <c r="B36" s="3748"/>
      <c r="C36" s="3742" t="s">
        <v>1917</v>
      </c>
      <c r="D36" s="3876" t="s">
        <v>1043</v>
      </c>
      <c r="E36" s="3876"/>
      <c r="F36" s="3876"/>
      <c r="G36" s="1207"/>
    </row>
    <row r="37" spans="1:7" ht="11.25" customHeight="1">
      <c r="A37" s="1210"/>
      <c r="B37" s="3748"/>
      <c r="C37" s="3748"/>
      <c r="D37" s="3876" t="s">
        <v>1044</v>
      </c>
      <c r="E37" s="3876"/>
      <c r="F37" s="3876"/>
      <c r="G37" s="1207"/>
    </row>
    <row r="38" spans="1:7" ht="11.25" customHeight="1">
      <c r="A38" s="1210"/>
      <c r="B38" s="3748"/>
      <c r="C38" s="3748"/>
      <c r="D38" s="3870" t="s">
        <v>1045</v>
      </c>
      <c r="E38" s="3870"/>
      <c r="F38" s="3870"/>
      <c r="G38" s="1207"/>
    </row>
    <row r="39" spans="1:7" ht="11.25" customHeight="1">
      <c r="A39" s="1210"/>
      <c r="B39" s="3748"/>
      <c r="C39" s="3745"/>
      <c r="D39" s="3707"/>
      <c r="E39" s="3882" t="s">
        <v>1046</v>
      </c>
      <c r="F39" s="3882"/>
      <c r="G39" s="1207"/>
    </row>
    <row r="40" spans="1:7" ht="11.25" customHeight="1">
      <c r="A40" s="1210"/>
      <c r="B40" s="3748"/>
      <c r="C40" s="3749"/>
      <c r="D40" s="3873"/>
      <c r="E40" s="3873"/>
      <c r="F40" s="3873"/>
      <c r="G40" s="1207"/>
    </row>
    <row r="41" spans="1:7" ht="15" customHeight="1">
      <c r="A41" s="1210"/>
      <c r="B41" s="3862" t="s">
        <v>1047</v>
      </c>
      <c r="C41" s="3862"/>
      <c r="D41" s="3872" t="s">
        <v>1048</v>
      </c>
      <c r="E41" s="3872"/>
      <c r="F41" s="3872"/>
      <c r="G41" s="1207"/>
    </row>
    <row r="42" spans="1:7" ht="11.25" customHeight="1">
      <c r="A42" s="1210"/>
      <c r="B42" s="3750"/>
      <c r="C42" s="3742" t="s">
        <v>1917</v>
      </c>
      <c r="D42" s="3871" t="s">
        <v>1043</v>
      </c>
      <c r="E42" s="3871"/>
      <c r="F42" s="3871"/>
      <c r="G42" s="1207"/>
    </row>
    <row r="43" spans="1:7" ht="11.25" customHeight="1">
      <c r="A43" s="1210"/>
      <c r="B43" s="3748"/>
      <c r="C43" s="3745"/>
      <c r="D43" s="3871" t="s">
        <v>1044</v>
      </c>
      <c r="E43" s="3871"/>
      <c r="F43" s="3871"/>
      <c r="G43" s="1207"/>
    </row>
    <row r="44" spans="1:7" ht="11.25" customHeight="1">
      <c r="A44" s="1210"/>
      <c r="B44" s="3748"/>
      <c r="C44" s="3745"/>
      <c r="D44" s="3871" t="s">
        <v>1045</v>
      </c>
      <c r="E44" s="3871"/>
      <c r="F44" s="3871"/>
      <c r="G44" s="1207"/>
    </row>
    <row r="45" spans="1:7" ht="11.25" customHeight="1">
      <c r="A45" s="1210"/>
      <c r="B45" s="3748"/>
      <c r="C45" s="3745"/>
      <c r="D45" s="3708"/>
      <c r="E45" s="3872" t="s">
        <v>1046</v>
      </c>
      <c r="F45" s="3872"/>
      <c r="G45" s="1207"/>
    </row>
    <row r="46" spans="1:7" s="1615" customFormat="1" ht="11.25" customHeight="1">
      <c r="A46" s="1210"/>
      <c r="B46" s="3748"/>
      <c r="C46" s="3745"/>
      <c r="D46" s="3708"/>
      <c r="E46" s="3707"/>
      <c r="F46" s="3707"/>
      <c r="G46" s="1207"/>
    </row>
    <row r="47" spans="1:7" s="1615" customFormat="1" ht="15" customHeight="1">
      <c r="A47" s="1210"/>
      <c r="B47" s="3877" t="s">
        <v>1052</v>
      </c>
      <c r="C47" s="3877"/>
      <c r="D47" s="2064" t="s">
        <v>1048</v>
      </c>
      <c r="E47" s="2064"/>
      <c r="F47" s="3709"/>
      <c r="G47" s="1207"/>
    </row>
    <row r="48" spans="1:7" s="1615" customFormat="1" ht="11.25" customHeight="1">
      <c r="A48" s="1210"/>
      <c r="B48" s="3751"/>
      <c r="C48" s="3742" t="s">
        <v>1917</v>
      </c>
      <c r="D48" s="3870" t="s">
        <v>660</v>
      </c>
      <c r="E48" s="3870"/>
      <c r="F48" s="3870"/>
      <c r="G48" s="1207"/>
    </row>
    <row r="49" spans="1:7" s="1615" customFormat="1" ht="11.25" customHeight="1">
      <c r="A49" s="1210"/>
      <c r="B49" s="3751"/>
      <c r="C49" s="3752"/>
      <c r="D49" s="3878" t="s">
        <v>1053</v>
      </c>
      <c r="E49" s="3878"/>
      <c r="F49" s="3878"/>
      <c r="G49" s="1207"/>
    </row>
    <row r="50" spans="1:7" s="1615" customFormat="1" ht="11.25" customHeight="1">
      <c r="A50" s="1210"/>
      <c r="B50" s="3751"/>
      <c r="C50" s="3752"/>
      <c r="D50" s="3871" t="s">
        <v>720</v>
      </c>
      <c r="E50" s="3871"/>
      <c r="F50" s="3871"/>
      <c r="G50" s="1207"/>
    </row>
    <row r="51" spans="1:7" s="1615" customFormat="1" ht="11.25" customHeight="1">
      <c r="A51" s="1210"/>
      <c r="B51" s="3751"/>
      <c r="C51" s="3752"/>
      <c r="D51" s="3871" t="s">
        <v>1047</v>
      </c>
      <c r="E51" s="3871"/>
      <c r="F51" s="3871"/>
      <c r="G51" s="1207"/>
    </row>
    <row r="52" spans="1:7" s="1615" customFormat="1" ht="11.25" customHeight="1">
      <c r="A52" s="1210"/>
      <c r="B52" s="3751"/>
      <c r="C52" s="3752"/>
      <c r="D52" s="3879" t="s">
        <v>1054</v>
      </c>
      <c r="E52" s="3879"/>
      <c r="F52" s="3879"/>
      <c r="G52" s="1207"/>
    </row>
    <row r="53" spans="1:7" ht="11.25" customHeight="1">
      <c r="A53" s="1210"/>
      <c r="B53" s="3748"/>
      <c r="C53" s="3749"/>
      <c r="D53" s="3873"/>
      <c r="E53" s="3873"/>
      <c r="F53" s="3873"/>
      <c r="G53" s="1207"/>
    </row>
    <row r="54" spans="1:7" ht="15" customHeight="1">
      <c r="A54" s="1210"/>
      <c r="B54" s="3874" t="s">
        <v>1049</v>
      </c>
      <c r="C54" s="3874"/>
      <c r="D54" s="3875" t="s">
        <v>1050</v>
      </c>
      <c r="E54" s="3875"/>
      <c r="F54" s="3875"/>
      <c r="G54" s="1207"/>
    </row>
    <row r="55" spans="1:7" ht="11.25" customHeight="1">
      <c r="A55" s="1210"/>
      <c r="B55" s="3748"/>
      <c r="C55" s="3742" t="s">
        <v>1917</v>
      </c>
      <c r="D55" s="3875"/>
      <c r="E55" s="3875"/>
      <c r="F55" s="3875"/>
      <c r="G55" s="1207"/>
    </row>
    <row r="56" spans="1:7" ht="11.25" customHeight="1">
      <c r="A56" s="1210"/>
      <c r="B56" s="3748"/>
      <c r="C56" s="3745"/>
      <c r="D56" s="3876" t="s">
        <v>1051</v>
      </c>
      <c r="E56" s="3876"/>
      <c r="F56" s="3876"/>
      <c r="G56" s="1207"/>
    </row>
    <row r="57" spans="1:7" ht="11.25" customHeight="1">
      <c r="A57" s="1210"/>
      <c r="B57" s="3752"/>
      <c r="C57" s="3752"/>
      <c r="D57" s="3863"/>
      <c r="E57" s="3863"/>
      <c r="F57" s="3863"/>
      <c r="G57" s="1207"/>
    </row>
    <row r="58" spans="1:7" s="1603" customFormat="1" ht="15" customHeight="1">
      <c r="A58" s="1210"/>
      <c r="B58" s="3874" t="s">
        <v>1062</v>
      </c>
      <c r="C58" s="3874"/>
      <c r="D58" s="3872" t="s">
        <v>1042</v>
      </c>
      <c r="E58" s="3872"/>
      <c r="F58" s="3872"/>
      <c r="G58" s="1162"/>
    </row>
    <row r="59" spans="1:7" s="1615" customFormat="1" ht="11.25" customHeight="1">
      <c r="A59" s="1210"/>
      <c r="B59" s="3753"/>
      <c r="C59" s="3742" t="s">
        <v>1917</v>
      </c>
      <c r="D59" s="3707"/>
      <c r="E59" s="3707"/>
      <c r="F59" s="3707"/>
      <c r="G59" s="1162"/>
    </row>
    <row r="60" spans="1:7" s="1615" customFormat="1" ht="11.25" customHeight="1">
      <c r="A60" s="1210"/>
      <c r="B60" s="3753"/>
      <c r="C60" s="3753"/>
      <c r="D60" s="3707"/>
      <c r="E60" s="3707"/>
      <c r="F60" s="3707"/>
      <c r="G60" s="1162"/>
    </row>
    <row r="61" spans="1:7" ht="15" customHeight="1">
      <c r="A61" s="1210"/>
      <c r="B61" s="3862" t="s">
        <v>1055</v>
      </c>
      <c r="C61" s="3862"/>
      <c r="D61" s="3863" t="s">
        <v>1056</v>
      </c>
      <c r="E61" s="3863"/>
      <c r="F61" s="3863"/>
      <c r="G61" s="1207"/>
    </row>
    <row r="62" spans="1:7" ht="11.25" customHeight="1">
      <c r="A62" s="1210"/>
      <c r="B62" s="3752"/>
      <c r="C62" s="3742" t="s">
        <v>1917</v>
      </c>
      <c r="D62" s="3863" t="s">
        <v>1057</v>
      </c>
      <c r="E62" s="3863"/>
      <c r="F62" s="3863"/>
      <c r="G62" s="1207"/>
    </row>
    <row r="63" spans="1:7" ht="11.25" customHeight="1">
      <c r="A63" s="1210"/>
      <c r="B63" s="3752"/>
      <c r="C63" s="3752"/>
      <c r="D63" s="3869" t="s">
        <v>1058</v>
      </c>
      <c r="E63" s="3869"/>
      <c r="F63" s="3869"/>
      <c r="G63" s="1207"/>
    </row>
    <row r="64" spans="1:7" ht="11.25" customHeight="1">
      <c r="A64" s="1210"/>
      <c r="B64" s="3770"/>
      <c r="C64" s="3771"/>
      <c r="D64" s="3870" t="s">
        <v>1820</v>
      </c>
      <c r="E64" s="3870"/>
      <c r="F64" s="3870"/>
      <c r="G64" s="1162"/>
    </row>
    <row r="65" spans="1:7" s="1603" customFormat="1" ht="11.25" customHeight="1">
      <c r="A65" s="1210"/>
      <c r="B65" s="3772"/>
      <c r="C65" s="3773"/>
      <c r="D65" s="3764"/>
      <c r="E65" s="3764"/>
      <c r="F65" s="3764"/>
      <c r="G65" s="1162"/>
    </row>
    <row r="66" spans="1:7" ht="15.75" customHeight="1">
      <c r="A66" s="1210"/>
      <c r="B66" s="3867" t="s">
        <v>1059</v>
      </c>
      <c r="C66" s="3867"/>
      <c r="D66" s="3863" t="s">
        <v>1060</v>
      </c>
      <c r="E66" s="3863"/>
      <c r="F66" s="3863"/>
      <c r="G66" s="1162"/>
    </row>
    <row r="67" spans="1:7" ht="11.25" customHeight="1">
      <c r="A67" s="1210"/>
      <c r="B67" s="3772"/>
      <c r="C67" s="3773" t="s">
        <v>1917</v>
      </c>
      <c r="D67" s="3866" t="s">
        <v>1061</v>
      </c>
      <c r="E67" s="3866"/>
      <c r="F67" s="3866"/>
      <c r="G67" s="1162"/>
    </row>
    <row r="68" spans="1:7" ht="11.25" customHeight="1">
      <c r="A68" s="1210"/>
      <c r="B68" s="3772"/>
      <c r="C68" s="3774"/>
      <c r="D68" s="3865"/>
      <c r="E68" s="3865"/>
      <c r="F68" s="3865"/>
      <c r="G68" s="1162"/>
    </row>
    <row r="69" spans="1:7" ht="15" customHeight="1">
      <c r="A69" s="1210"/>
      <c r="B69" s="3868" t="s">
        <v>1063</v>
      </c>
      <c r="C69" s="3868"/>
      <c r="D69" s="3863" t="s">
        <v>1064</v>
      </c>
      <c r="E69" s="3863"/>
      <c r="F69" s="3863"/>
      <c r="G69" s="1162"/>
    </row>
    <row r="70" spans="1:7" ht="11.25" customHeight="1">
      <c r="A70" s="1210"/>
      <c r="B70" s="3741"/>
      <c r="C70" s="3742" t="s">
        <v>1917</v>
      </c>
      <c r="D70" s="3864"/>
      <c r="E70" s="3864"/>
      <c r="F70" s="3864"/>
      <c r="G70" s="1162"/>
    </row>
    <row r="71" spans="1:7" ht="7.5" customHeight="1">
      <c r="A71" s="1210"/>
      <c r="B71" s="3715"/>
      <c r="C71" s="1211"/>
      <c r="D71" s="1131"/>
      <c r="E71" s="3754"/>
      <c r="F71" s="3755" t="s">
        <v>231</v>
      </c>
      <c r="G71" s="2610"/>
    </row>
    <row r="72" spans="1:7" ht="12" customHeight="1">
      <c r="A72" s="3860" t="s">
        <v>1065</v>
      </c>
      <c r="B72" s="3860"/>
      <c r="C72" s="3860"/>
      <c r="D72" s="3716"/>
      <c r="E72" s="3756" t="s">
        <v>1011</v>
      </c>
      <c r="F72" s="3757" t="s">
        <v>1</v>
      </c>
      <c r="G72" s="1212"/>
    </row>
    <row r="73" spans="1:7" ht="9" customHeight="1">
      <c r="A73" s="3861" t="s">
        <v>1066</v>
      </c>
      <c r="B73" s="3861"/>
      <c r="C73" s="3861"/>
      <c r="D73" s="3861"/>
      <c r="E73" s="3758" t="s">
        <v>1778</v>
      </c>
      <c r="F73" s="3759" t="s">
        <v>1779</v>
      </c>
      <c r="G73" s="1212"/>
    </row>
    <row r="74" spans="1:7" ht="9.6" customHeight="1">
      <c r="A74" s="3861"/>
      <c r="B74" s="3861"/>
      <c r="C74" s="3861"/>
      <c r="D74" s="3861"/>
      <c r="E74" s="3758" t="s">
        <v>1780</v>
      </c>
      <c r="F74" s="3757" t="s">
        <v>1068</v>
      </c>
      <c r="G74" s="1212"/>
    </row>
    <row r="75" spans="1:7" ht="9.6" customHeight="1">
      <c r="A75" s="3861"/>
      <c r="B75" s="3861"/>
      <c r="C75" s="3861"/>
      <c r="D75" s="3861"/>
      <c r="E75" s="3756" t="s">
        <v>1013</v>
      </c>
      <c r="F75" s="3760" t="s">
        <v>235</v>
      </c>
      <c r="G75" s="1212"/>
    </row>
    <row r="76" spans="1:7" ht="11.45" customHeight="1">
      <c r="A76" s="1131"/>
      <c r="B76" s="1131"/>
      <c r="C76" s="1131"/>
      <c r="D76" s="1131"/>
      <c r="E76" s="1213"/>
      <c r="F76" s="1131"/>
      <c r="G76" s="1212"/>
    </row>
  </sheetData>
  <sheetProtection password="FA80" sheet="1" objects="1" scenarios="1"/>
  <mergeCells count="77">
    <mergeCell ref="D12:F12"/>
    <mergeCell ref="D13:F13"/>
    <mergeCell ref="D11:F11"/>
    <mergeCell ref="D10:F10"/>
    <mergeCell ref="A1:B1"/>
    <mergeCell ref="C1:E1"/>
    <mergeCell ref="E2:F2"/>
    <mergeCell ref="A3:F3"/>
    <mergeCell ref="A4:F4"/>
    <mergeCell ref="D5:F5"/>
    <mergeCell ref="B6:C6"/>
    <mergeCell ref="D6:F6"/>
    <mergeCell ref="D7:F7"/>
    <mergeCell ref="D8:F8"/>
    <mergeCell ref="D9:F9"/>
    <mergeCell ref="E14:F14"/>
    <mergeCell ref="D15:F15"/>
    <mergeCell ref="E16:F16"/>
    <mergeCell ref="E17:F17"/>
    <mergeCell ref="E18:F18"/>
    <mergeCell ref="D19:F19"/>
    <mergeCell ref="D20:F20"/>
    <mergeCell ref="D21:F21"/>
    <mergeCell ref="D33:F33"/>
    <mergeCell ref="D23:F23"/>
    <mergeCell ref="D24:F24"/>
    <mergeCell ref="D25:F25"/>
    <mergeCell ref="D26:F26"/>
    <mergeCell ref="D27:F27"/>
    <mergeCell ref="D28:F28"/>
    <mergeCell ref="D29:F29"/>
    <mergeCell ref="D22:F22"/>
    <mergeCell ref="B30:C30"/>
    <mergeCell ref="D30:F30"/>
    <mergeCell ref="D31:F31"/>
    <mergeCell ref="D32:F32"/>
    <mergeCell ref="D43:F43"/>
    <mergeCell ref="D34:F34"/>
    <mergeCell ref="B35:C35"/>
    <mergeCell ref="D35:F35"/>
    <mergeCell ref="D36:F36"/>
    <mergeCell ref="D37:F37"/>
    <mergeCell ref="D38:F38"/>
    <mergeCell ref="E39:F39"/>
    <mergeCell ref="D40:F40"/>
    <mergeCell ref="B41:C41"/>
    <mergeCell ref="D41:F41"/>
    <mergeCell ref="D42:F42"/>
    <mergeCell ref="D57:F57"/>
    <mergeCell ref="D44:F44"/>
    <mergeCell ref="E45:F45"/>
    <mergeCell ref="D53:F53"/>
    <mergeCell ref="B58:C58"/>
    <mergeCell ref="D58:F58"/>
    <mergeCell ref="B54:C54"/>
    <mergeCell ref="D54:F55"/>
    <mergeCell ref="D56:F56"/>
    <mergeCell ref="B47:C47"/>
    <mergeCell ref="D48:F48"/>
    <mergeCell ref="D49:F49"/>
    <mergeCell ref="D50:F50"/>
    <mergeCell ref="D51:F51"/>
    <mergeCell ref="D52:F52"/>
    <mergeCell ref="A72:C72"/>
    <mergeCell ref="A73:D75"/>
    <mergeCell ref="B61:C61"/>
    <mergeCell ref="D61:F61"/>
    <mergeCell ref="D70:F70"/>
    <mergeCell ref="D68:F68"/>
    <mergeCell ref="D69:F69"/>
    <mergeCell ref="D67:F67"/>
    <mergeCell ref="B66:C66"/>
    <mergeCell ref="B69:C69"/>
    <mergeCell ref="D62:F62"/>
    <mergeCell ref="D63:F63"/>
    <mergeCell ref="D64:F64"/>
    <mergeCell ref="D66:F66"/>
  </mergeCells>
  <hyperlinks>
    <hyperlink ref="B6" location="'General Calc's'!H1" display="General Calc's."/>
    <hyperlink ref="D6" location="'General Calc's'!B4" display="General Converters - volume, weights, temperature etc."/>
    <hyperlink ref="D7" location="'General Calc's'!B28" display="Malt &amp; Sugar Conversion Calculators"/>
    <hyperlink ref="D8" location="'General Calc's'!N37" display="Hydrometer Temperature Correction"/>
    <hyperlink ref="D10" location="'General Calc's'!B46" display="Quick ABV Estimator"/>
    <hyperlink ref="D12" location="'General Calc's'!B55" display="°Brix, Plato, Balling &amp; Baumé"/>
    <hyperlink ref="D13" location="'General Calc's'!B66" display="UK/US Proof &amp;% Converters"/>
    <hyperlink ref="D22" location="'General Calc's'!B101" display="Making Beer &amp; Wine In Stages"/>
    <hyperlink ref="B30" location="'Beer Kit Calc's'!J1" display="Beer Kit Calculators"/>
    <hyperlink ref="D31" location="'Beer Kit Calc's'!B34" display="A Few Typical Beer Styles Carbonation Levels."/>
    <hyperlink ref="D15" location="'General Calc's'!B75" display="BMI Calculator &amp; Safe Drinking (UK)"/>
    <hyperlink ref="B35" location="'Extract Calc'!I1" display="Malt Extract Calculator"/>
    <hyperlink ref="D36" location="'Extract Calc'!B8" display="Summary For The Finished Beer"/>
    <hyperlink ref="D37" location="'Extract Calc'!K8" display="Calorie/Carbohydrate/Unit Data."/>
    <hyperlink ref="D38" location="'Extract Calc'!B98" display="Technical Section"/>
    <hyperlink ref="B41" location="'Beer Calc'!F1" display="Beer Calculator"/>
    <hyperlink ref="D42" location="'Beer Calc'!B8" display="Summary For The Finished Beer"/>
    <hyperlink ref="D43" location="'Beer Calc'!A85" display="Calorie/Carbohydrate/Unit Data."/>
    <hyperlink ref="B54" location="'Beer Data Sheet'!P1" display="Beer Data Sheet"/>
    <hyperlink ref="D56" location="'Beer Data Sheet'!AI2" display="Beer Yeast Information"/>
    <hyperlink ref="B47" location="'Beer Scaling Calc'!F1" display="Beer Scaling Calculators Etc."/>
    <hyperlink ref="D48" location="'Beer Scaling Calc'!G15" display="General Recipe Comparator"/>
    <hyperlink ref="D49" location="'Beer Scaling Calc'!G47" display="Extract/Volume Converter"/>
    <hyperlink ref="D52" location="'Beer Scaling Calc'!G81" display="Volume Converter"/>
    <hyperlink ref="D50" location="'Beer Scaling Calc'!B117" display="Piggy-Back Calc."/>
    <hyperlink ref="E50" location="'Beer Scaling Calc'!B117" display="Piggy-Back Calc."/>
    <hyperlink ref="F50" location="'Beer Scaling Calc'!B117" display="Piggy-Back Calc."/>
    <hyperlink ref="D51" location="'Beer Scaling Calc'!B151" display="Beer Calculator"/>
    <hyperlink ref="B61" location="'Primer'!D1" display="Priming Calc's. For Beers Etc."/>
    <hyperlink ref="D64" location="'Primer'!B53" display="Volume CO2 to PSI or Atm. or Bar"/>
    <hyperlink ref="B66" location="'Water'!G1" display="Water Treatment Calculator"/>
    <hyperlink ref="D67" location="'Water'!Q44" display="TCP Taste/Aroma"/>
    <hyperlink ref="B69" location="'BJCP'!F1" display="BJCP Guide"/>
    <hyperlink ref="C69" location="'BJCP'!F1" display="BJCP Guide"/>
    <hyperlink ref="B58" location="'Gluten-Free Calc'!G1" display="Gluten-Free (Beer) Calulator"/>
    <hyperlink ref="C58" location="'Gluten-Free Calc'!G1" display="Gluten-Free (Beer) Calulator"/>
    <hyperlink ref="B30:C30" location="'Beer Kit'!I1" display="Beer Kit Calculators"/>
    <hyperlink ref="B58:C58" location="'Gluten-Free'!G1" display="Gluten-Free Beer Calulator"/>
    <hyperlink ref="B69:C69" location="BJCP!F1" display="BJCP Guide"/>
    <hyperlink ref="B66:C66" location="Water!I1" display="Water Treatment Calculator"/>
    <hyperlink ref="B61:C61" location="Primer!F1" display="Priming Calc's. For Beers Etc."/>
    <hyperlink ref="B47:C47" location="'Beer Scaling'!K1" display="Beer Scaling Calculators Etc."/>
    <hyperlink ref="B54:C54" location="'Beer Data Sheet'!N1" display="Beer Data Sheet"/>
    <hyperlink ref="B41:C41" location="Beer!O1" display="Beer Calculator"/>
    <hyperlink ref="B35:C35" location="Extract!M1" display="Malt Extract Calculator"/>
    <hyperlink ref="D6:F6" location="'General Calc''s'!B4" display="General Converters - volume, weights, temperature etc."/>
    <hyperlink ref="D7:F7" location="'General Calc''s'!B32" display="Malt &amp; Sugar Conversion Calculators"/>
    <hyperlink ref="D8:F8" location="'General Calc''s'!J41" display="Hydrometer Temperature Correction"/>
    <hyperlink ref="D12:F12" location="'General Calc''s'!B70" display="°Brix, Plato, Balling &amp; Baumé"/>
    <hyperlink ref="D13:F13" location="'General Calc''s'!A80" display="UK ̸ US Proof &amp; % Converters"/>
    <hyperlink ref="D22:F22" location="'General Calc''s'!A143" display="Making Beer &amp; Wine In Stages"/>
    <hyperlink ref="B6:C6" location="'General Calc''s'!H1" display="General Calc's."/>
    <hyperlink ref="D31:F31" location="'Beer Kit'!A43" display="A Few Typical Beer Styles Carbonation Levels."/>
    <hyperlink ref="D36:F36" location="Extract!D7" display="Summary For The Finished Beer"/>
    <hyperlink ref="D37:F37" location="Extract!K7" display="Calorie ̸ Carbohydrate ̸ Unit Data."/>
    <hyperlink ref="D38:F38" location="Extract!A118" display="Technical Section"/>
    <hyperlink ref="D42:F42" location="Beer!D9" display="Summary For The Finished Beer"/>
    <hyperlink ref="D43:F43" location="Beer!I9" display="Calorie ̸ Carbohydrate ̸ Unit Data."/>
    <hyperlink ref="D48:F48" location="'Beer Scaling'!G14" display="General Recipe Comparator"/>
    <hyperlink ref="D49:F49" location="'Beer Scaling'!G55" display="Extract ̸ Volume Converter"/>
    <hyperlink ref="D52:F52" location="'Beer Scaling'!V4" display="Volume/Weight Converters"/>
    <hyperlink ref="D50:F50" location="'Beer Scaling'!B137" display="Piggy-Back Calc."/>
    <hyperlink ref="D51:F51" location="'Beer Scaling'!B173" display="Beer Calculator"/>
    <hyperlink ref="D9" location="'General Calc''s'!M45" display="SG to % ABV Calculator"/>
    <hyperlink ref="D32" location="'Beer Kit'!B48" display="Priming Sugar."/>
    <hyperlink ref="D25" location="'General Calc's'!B75" display="BMI Calculator &amp; Safe Drinking (UK)"/>
    <hyperlink ref="D25:F25" location="'General Calc''s'!A171" display="Safe Drinking in the UK)"/>
    <hyperlink ref="D9:F9" location="'General Calc''s'!B49" display="SG to % ABV Calculator"/>
    <hyperlink ref="D10:F10" location="'General Calc''s'!C50" display="ABV Estimators"/>
    <hyperlink ref="D19" location="'General Calc''s'!B98" display="Sugar Solutions (Syrups)"/>
    <hyperlink ref="D21" location="'General Calc''s'!B125" display="Malt Colour"/>
    <hyperlink ref="D64:F64" location="Primer!A61" display="Volume CO2 Converters to PSI or Atm. or Bar (Approx.)"/>
    <hyperlink ref="D26" location="'General Calc's'!B75" display="BMI Calculator &amp; Safe Drinking (UK)"/>
    <hyperlink ref="D27:F27" location="'General Calc''s'!B202" display="Beer, Wine &amp; Spirit Freezing Point"/>
    <hyperlink ref="D26:F26" location="'General Calc''s'!A181" display="BMI  -  Waist to Height Ratio Calculators"/>
    <hyperlink ref="D19:F19" location="'General Calc''s'!A116" display="Sugar Solutions (Syrups)"/>
    <hyperlink ref="D32:F32" location="'Beer Kit'!B57" display="Priming Sugar."/>
    <hyperlink ref="D21:F21" location="'General Calc''s'!A134" display="Malt Colour"/>
    <hyperlink ref="D56:F56" location="'Beer Data Sheet'!AH2" display="Beer Yeast Information"/>
    <hyperlink ref="D67:F67" location="Water!J48" display="TCP Taste ̸ Aroma"/>
    <hyperlink ref="E18" location="'General Calc''s'!K102" display="Hop Calc's (for all beers)"/>
    <hyperlink ref="D15:F15" location="'General Calc''s'!A89" display="For ALL Grain Beers (mostly)"/>
    <hyperlink ref="D28" location="'General Calc''s'!A183" display="Some Typical Beer Drinking Temperatures (°C)."/>
    <hyperlink ref="D33:F33" location="'Beer Kit'!B67" display="Sugar Solutions (Syrups)"/>
    <hyperlink ref="D24" location="'General Calc''s'!A154" display="Priming"/>
    <hyperlink ref="D24:F24" location="'General Calc''s'!A161" display="Priming"/>
    <hyperlink ref="E18:F18" location="'General Calc''s'!K105" display="Hop Calc's (for all beers)"/>
    <hyperlink ref="E17:F17" location="'General Calc''s'!K101" display="Alpha Acid ̸ Weight Conversions"/>
    <hyperlink ref="D20:F20" location="'General Calc''s'!A122" display="Beer Colour"/>
    <hyperlink ref="D23:F23" location="'General Calc''s'!A150" display="Reduced Alcohol Beers &amp; Wines"/>
    <hyperlink ref="D30" location="'Beer Kit Calc's'!B8" display="Beer Kit Modifier"/>
    <hyperlink ref="D30:F30" location="'Beer Kit'!B6" display="Beer Kit Modifier"/>
    <hyperlink ref="E16" location="'General Calc''s'!A100" display="Drying"/>
    <hyperlink ref="D16" location="'General Calc''s'!A101" display="Hops"/>
    <hyperlink ref="D11:F11" location="'General Calc''s'!A63" display="OG Correction For Beers &amp; Wines."/>
    <hyperlink ref="F72" r:id="rId1"/>
    <hyperlink ref="F73" r:id="rId2"/>
    <hyperlink ref="F74" r:id="rId3"/>
    <hyperlink ref="F75" r:id="rId4"/>
    <hyperlink ref="E16:F16" location="'General Calc''s'!A101" display="Drying"/>
    <hyperlink ref="D28:F28" location="'General Calc''s'!A207" display="Some Typical Beer Drinking Temperatures (°C)."/>
    <hyperlink ref="D44" location="'Extract Calc'!B98" display="Technical Section"/>
    <hyperlink ref="D44:F44" location="Beer!A109" display="Technical Section"/>
  </hyperlinks>
  <printOptions horizontalCentered="1"/>
  <pageMargins left="0.59055118110236227" right="0.59055118110236227" top="0.39" bottom="0.6692913385826772" header="0.31496062992125984" footer="0.47244094488188981"/>
  <pageSetup paperSize="9" scale="90" orientation="portrait" verticalDpi="300" r:id="rId5"/>
</worksheet>
</file>

<file path=xl/worksheets/sheet10.xml><?xml version="1.0" encoding="utf-8"?>
<worksheet xmlns="http://schemas.openxmlformats.org/spreadsheetml/2006/main" xmlns:r="http://schemas.openxmlformats.org/officeDocument/2006/relationships">
  <sheetPr>
    <tabColor rgb="FF0000FF"/>
    <pageSetUpPr fitToPage="1"/>
  </sheetPr>
  <dimension ref="A1:T56"/>
  <sheetViews>
    <sheetView zoomScale="75" zoomScaleNormal="75" zoomScaleSheetLayoutView="75" workbookViewId="0">
      <selection activeCell="G23" sqref="G23"/>
    </sheetView>
  </sheetViews>
  <sheetFormatPr defaultColWidth="8.28515625" defaultRowHeight="15"/>
  <cols>
    <col min="1" max="1" width="31.28515625" style="342" customWidth="1"/>
    <col min="2" max="3" width="10" style="342" customWidth="1"/>
    <col min="4" max="9" width="8.28515625" style="342" customWidth="1"/>
    <col min="10" max="10" width="2.7109375" style="342" customWidth="1"/>
    <col min="11" max="12" width="11.42578125" style="342" customWidth="1"/>
    <col min="13" max="18" width="12.140625" style="342" customWidth="1"/>
    <col min="19" max="19" width="33.140625" style="342" customWidth="1"/>
    <col min="20" max="20" width="2.85546875" style="1568" customWidth="1"/>
    <col min="21" max="16384" width="8.28515625" style="1568"/>
  </cols>
  <sheetData>
    <row r="1" spans="1:20" ht="28.5" customHeight="1">
      <c r="A1" s="1565" t="s">
        <v>1918</v>
      </c>
      <c r="B1" s="361"/>
      <c r="C1" s="912"/>
      <c r="D1" s="1566"/>
      <c r="E1" s="1566"/>
      <c r="G1" s="1569"/>
      <c r="H1" s="4430" t="s">
        <v>1904</v>
      </c>
      <c r="I1" s="4430"/>
      <c r="J1" s="4430"/>
      <c r="K1" s="4430"/>
      <c r="L1" s="4430"/>
      <c r="M1" s="4430"/>
      <c r="N1" s="4430"/>
      <c r="O1" s="3609"/>
      <c r="P1" s="361"/>
      <c r="Q1" s="361"/>
      <c r="R1" s="361"/>
      <c r="S1" s="1567" t="s">
        <v>1917</v>
      </c>
      <c r="T1" s="344"/>
    </row>
    <row r="2" spans="1:20" ht="15" customHeight="1">
      <c r="A2" s="1565"/>
      <c r="B2" s="361"/>
      <c r="C2" s="912"/>
      <c r="D2" s="1566"/>
      <c r="E2" s="1566"/>
      <c r="F2" s="1566"/>
      <c r="G2" s="1569"/>
      <c r="H2" s="5788" t="s">
        <v>1905</v>
      </c>
      <c r="I2" s="5788"/>
      <c r="J2" s="5788"/>
      <c r="K2" s="5788"/>
      <c r="L2" s="5788"/>
      <c r="M2" s="5788"/>
      <c r="N2" s="5788"/>
      <c r="O2" s="361"/>
      <c r="P2" s="361"/>
      <c r="Q2" s="361"/>
      <c r="R2" s="361"/>
      <c r="S2" s="1901" t="s">
        <v>1</v>
      </c>
      <c r="T2" s="344"/>
    </row>
    <row r="3" spans="1:20" ht="15" customHeight="1">
      <c r="A3" s="1565"/>
      <c r="B3" s="1569"/>
      <c r="C3" s="1569"/>
      <c r="D3" s="1569"/>
      <c r="E3" s="1569"/>
      <c r="F3" s="1569"/>
      <c r="G3" s="1569"/>
      <c r="H3" s="1569"/>
      <c r="I3" s="1569"/>
      <c r="J3" s="1569"/>
      <c r="K3" s="1569"/>
      <c r="L3" s="1569"/>
      <c r="M3" s="1570"/>
      <c r="N3" s="1569"/>
      <c r="O3" s="5792" t="s">
        <v>230</v>
      </c>
      <c r="P3" s="5792"/>
      <c r="Q3" s="5792"/>
      <c r="R3" s="5792"/>
      <c r="S3" s="1571" t="s">
        <v>307</v>
      </c>
      <c r="T3" s="344"/>
    </row>
    <row r="4" spans="1:20" ht="15" customHeight="1">
      <c r="A4" s="1565"/>
      <c r="B4" s="1572"/>
      <c r="C4" s="5793" t="s">
        <v>389</v>
      </c>
      <c r="D4" s="5793"/>
      <c r="E4" s="5793"/>
      <c r="F4" s="5793"/>
      <c r="G4" s="5793"/>
      <c r="H4" s="1569"/>
      <c r="I4" s="1569"/>
      <c r="J4" s="1569"/>
      <c r="K4" s="5795" t="s">
        <v>1724</v>
      </c>
      <c r="L4" s="5795"/>
      <c r="M4" s="5795"/>
      <c r="N4" s="1569"/>
      <c r="O4" s="5792"/>
      <c r="P4" s="5792"/>
      <c r="Q4" s="5792"/>
      <c r="R4" s="5792"/>
      <c r="S4" s="344" t="s">
        <v>493</v>
      </c>
      <c r="T4" s="344"/>
    </row>
    <row r="5" spans="1:20" ht="15" customHeight="1">
      <c r="A5" s="1565"/>
      <c r="B5" s="1569"/>
      <c r="C5" s="1569"/>
      <c r="D5" s="1569"/>
      <c r="E5" s="1569"/>
      <c r="F5" s="1569"/>
      <c r="G5" s="1569"/>
      <c r="H5" s="1569"/>
      <c r="I5" s="1569"/>
      <c r="J5" s="1569"/>
      <c r="K5" s="1573"/>
      <c r="L5" s="1573"/>
      <c r="M5" s="1569"/>
      <c r="N5" s="1574"/>
      <c r="O5" s="5792"/>
      <c r="P5" s="5792"/>
      <c r="Q5" s="5792"/>
      <c r="R5" s="5792"/>
      <c r="S5" s="358"/>
      <c r="T5" s="344"/>
    </row>
    <row r="6" spans="1:20" ht="15" customHeight="1">
      <c r="A6" s="1575" t="s">
        <v>1609</v>
      </c>
      <c r="B6" s="1576">
        <v>23</v>
      </c>
      <c r="C6" s="5794" t="s">
        <v>1610</v>
      </c>
      <c r="D6" s="5794"/>
      <c r="E6" s="5794"/>
      <c r="F6" s="5794"/>
      <c r="G6" s="5794"/>
      <c r="H6" s="5794"/>
      <c r="I6" s="1569"/>
      <c r="J6" s="361"/>
      <c r="K6" s="1577"/>
      <c r="L6" s="1577"/>
      <c r="M6" s="1578"/>
      <c r="N6" s="1578"/>
      <c r="O6" s="1578"/>
      <c r="P6" s="1578"/>
      <c r="Q6" s="1578"/>
      <c r="R6" s="1578"/>
      <c r="S6" s="344"/>
      <c r="T6" s="344"/>
    </row>
    <row r="7" spans="1:20" ht="15.75" customHeight="1">
      <c r="A7" s="3766"/>
      <c r="B7" s="1570"/>
      <c r="C7" s="1570"/>
      <c r="D7" s="1570"/>
      <c r="E7" s="3779"/>
      <c r="F7" s="3779"/>
      <c r="G7" s="3779"/>
      <c r="H7" s="3779"/>
      <c r="I7" s="3779"/>
      <c r="J7" s="361"/>
      <c r="K7" s="363"/>
      <c r="L7" s="363"/>
      <c r="M7" s="3769" t="s">
        <v>1611</v>
      </c>
      <c r="N7" s="3769" t="s">
        <v>1612</v>
      </c>
      <c r="O7" s="3768" t="s">
        <v>1613</v>
      </c>
      <c r="P7" s="3768" t="s">
        <v>1614</v>
      </c>
      <c r="Q7" s="3768" t="s">
        <v>1615</v>
      </c>
      <c r="R7" s="3768" t="s">
        <v>1616</v>
      </c>
      <c r="S7" s="344"/>
      <c r="T7" s="344"/>
    </row>
    <row r="8" spans="1:20" ht="15.75" customHeight="1">
      <c r="A8" s="3780"/>
      <c r="B8" s="3780"/>
      <c r="C8" s="3780"/>
      <c r="D8" s="3151" t="s">
        <v>1617</v>
      </c>
      <c r="E8" s="3151" t="s">
        <v>1618</v>
      </c>
      <c r="F8" s="3151" t="s">
        <v>1619</v>
      </c>
      <c r="G8" s="3151" t="s">
        <v>1831</v>
      </c>
      <c r="H8" s="3151" t="s">
        <v>1832</v>
      </c>
      <c r="I8" s="3151" t="s">
        <v>1620</v>
      </c>
      <c r="J8" s="361"/>
      <c r="K8" s="5791" t="s">
        <v>1621</v>
      </c>
      <c r="L8" s="5791"/>
      <c r="M8" s="3151" t="s">
        <v>1617</v>
      </c>
      <c r="N8" s="3151" t="s">
        <v>1618</v>
      </c>
      <c r="O8" s="3151" t="s">
        <v>1619</v>
      </c>
      <c r="P8" s="3151" t="s">
        <v>1831</v>
      </c>
      <c r="Q8" s="3151" t="s">
        <v>1832</v>
      </c>
      <c r="R8" s="3152" t="s">
        <v>1620</v>
      </c>
      <c r="S8" s="3153" t="s">
        <v>1622</v>
      </c>
      <c r="T8" s="344"/>
    </row>
    <row r="9" spans="1:20" ht="15.75" customHeight="1">
      <c r="A9" s="3780"/>
      <c r="B9" s="5797" t="s">
        <v>1623</v>
      </c>
      <c r="C9" s="5797"/>
      <c r="D9" s="3160" t="s">
        <v>1624</v>
      </c>
      <c r="E9" s="3161" t="s">
        <v>1625</v>
      </c>
      <c r="F9" s="3161" t="s">
        <v>1625</v>
      </c>
      <c r="G9" s="3161" t="s">
        <v>1626</v>
      </c>
      <c r="H9" s="3161" t="s">
        <v>1626</v>
      </c>
      <c r="I9" s="3161" t="s">
        <v>1625</v>
      </c>
      <c r="J9" s="361"/>
      <c r="K9" s="5796" t="s">
        <v>1833</v>
      </c>
      <c r="L9" s="5796"/>
      <c r="M9" s="3154">
        <v>268</v>
      </c>
      <c r="N9" s="3154">
        <v>62</v>
      </c>
      <c r="O9" s="3154">
        <v>30</v>
      </c>
      <c r="P9" s="3154">
        <v>141</v>
      </c>
      <c r="Q9" s="3154">
        <v>638</v>
      </c>
      <c r="R9" s="3154">
        <v>36</v>
      </c>
      <c r="S9" s="3155" t="s">
        <v>1627</v>
      </c>
      <c r="T9" s="344"/>
    </row>
    <row r="10" spans="1:20" ht="15.75" customHeight="1">
      <c r="A10" s="3150" t="s">
        <v>1628</v>
      </c>
      <c r="B10" s="3149" t="s">
        <v>1629</v>
      </c>
      <c r="C10" s="3149" t="s">
        <v>1630</v>
      </c>
      <c r="D10" s="3162"/>
      <c r="E10" s="3162"/>
      <c r="F10" s="3162"/>
      <c r="G10" s="3163"/>
      <c r="H10" s="3163"/>
      <c r="I10" s="3162"/>
      <c r="J10" s="361"/>
      <c r="K10" s="5798" t="s">
        <v>1834</v>
      </c>
      <c r="L10" s="5798"/>
      <c r="M10" s="3154">
        <v>260</v>
      </c>
      <c r="N10" s="3154">
        <v>23</v>
      </c>
      <c r="O10" s="3154">
        <v>69</v>
      </c>
      <c r="P10" s="3154">
        <v>270</v>
      </c>
      <c r="Q10" s="3154">
        <v>240</v>
      </c>
      <c r="R10" s="3154">
        <v>106</v>
      </c>
      <c r="S10" s="3155" t="s">
        <v>1631</v>
      </c>
      <c r="T10" s="344"/>
    </row>
    <row r="11" spans="1:20" ht="15.75" customHeight="1">
      <c r="A11" s="3171" t="s">
        <v>1632</v>
      </c>
      <c r="B11" s="3158">
        <v>1</v>
      </c>
      <c r="C11" s="3170">
        <f t="shared" ref="C11:C16" si="0">B11/C41</f>
        <v>0.22727272727272727</v>
      </c>
      <c r="D11" s="3164"/>
      <c r="E11" s="3162"/>
      <c r="F11" s="3165">
        <f>$B11*F41/$B$6</f>
        <v>12.343695652173912</v>
      </c>
      <c r="G11" s="3165">
        <f>$B11*G41/$B$6</f>
        <v>31.270695652173913</v>
      </c>
      <c r="H11" s="3162"/>
      <c r="I11" s="3162"/>
      <c r="J11" s="361"/>
      <c r="K11" s="5798" t="s">
        <v>1835</v>
      </c>
      <c r="L11" s="5798"/>
      <c r="M11" s="3154">
        <v>119</v>
      </c>
      <c r="N11" s="3154">
        <v>4</v>
      </c>
      <c r="O11" s="3154">
        <v>12</v>
      </c>
      <c r="P11" s="3154">
        <v>319</v>
      </c>
      <c r="Q11" s="3154">
        <v>53</v>
      </c>
      <c r="R11" s="3154">
        <v>19</v>
      </c>
      <c r="S11" s="3155" t="s">
        <v>1633</v>
      </c>
      <c r="T11" s="344"/>
    </row>
    <row r="12" spans="1:20" ht="15.75" customHeight="1">
      <c r="A12" s="3171" t="s">
        <v>1634</v>
      </c>
      <c r="B12" s="3158">
        <v>0.55000000000000004</v>
      </c>
      <c r="C12" s="3170">
        <f t="shared" si="0"/>
        <v>0.13750000000000001</v>
      </c>
      <c r="D12" s="3165">
        <f>$B12*D42/$B$6</f>
        <v>6.5174713043478274</v>
      </c>
      <c r="E12" s="3162"/>
      <c r="F12" s="3162"/>
      <c r="G12" s="3162"/>
      <c r="H12" s="3164"/>
      <c r="I12" s="3166">
        <f>$B12*I42/$B$6</f>
        <v>11.496095217391307</v>
      </c>
      <c r="J12" s="361"/>
      <c r="K12" s="5798" t="s">
        <v>1836</v>
      </c>
      <c r="L12" s="5798"/>
      <c r="M12" s="3154">
        <v>140</v>
      </c>
      <c r="N12" s="3154">
        <v>36</v>
      </c>
      <c r="O12" s="3154">
        <v>92</v>
      </c>
      <c r="P12" s="3154">
        <v>270</v>
      </c>
      <c r="Q12" s="3154">
        <v>231</v>
      </c>
      <c r="R12" s="3154">
        <v>60</v>
      </c>
      <c r="S12" s="3155" t="s">
        <v>1635</v>
      </c>
      <c r="T12" s="344"/>
    </row>
    <row r="13" spans="1:20" ht="15.75" customHeight="1">
      <c r="A13" s="3171" t="s">
        <v>1636</v>
      </c>
      <c r="B13" s="3158">
        <v>3</v>
      </c>
      <c r="C13" s="3170">
        <f t="shared" si="0"/>
        <v>1.6666666666666665</v>
      </c>
      <c r="D13" s="3165">
        <f>$B13*D43/$B$6</f>
        <v>52.33726956521739</v>
      </c>
      <c r="E13" s="3164"/>
      <c r="F13" s="3162"/>
      <c r="G13" s="3166">
        <f>$B13*G43/$B$6</f>
        <v>78.505904347826089</v>
      </c>
      <c r="H13" s="3164"/>
      <c r="I13" s="3162"/>
      <c r="J13" s="361"/>
      <c r="K13" s="5798" t="s">
        <v>1837</v>
      </c>
      <c r="L13" s="5798"/>
      <c r="M13" s="3154">
        <v>90</v>
      </c>
      <c r="N13" s="3154">
        <v>4.2</v>
      </c>
      <c r="O13" s="3154">
        <v>24</v>
      </c>
      <c r="P13" s="3154">
        <v>123</v>
      </c>
      <c r="Q13" s="3154">
        <v>58</v>
      </c>
      <c r="R13" s="3154">
        <v>18</v>
      </c>
      <c r="S13" s="3155" t="s">
        <v>1637</v>
      </c>
      <c r="T13" s="344"/>
    </row>
    <row r="14" spans="1:20" ht="15.75" customHeight="1">
      <c r="A14" s="3171" t="s">
        <v>1638</v>
      </c>
      <c r="B14" s="3158">
        <v>4.25</v>
      </c>
      <c r="C14" s="3170">
        <f t="shared" si="0"/>
        <v>1.0625</v>
      </c>
      <c r="D14" s="3162"/>
      <c r="E14" s="3166">
        <f>$B14*E44/$B$6</f>
        <v>18.186378260869564</v>
      </c>
      <c r="F14" s="3164"/>
      <c r="G14" s="3162"/>
      <c r="H14" s="3165">
        <f>$B14*H44/$B$6</f>
        <v>72.046036956521746</v>
      </c>
      <c r="I14" s="3164"/>
      <c r="J14" s="361"/>
      <c r="K14" s="5798" t="s">
        <v>1838</v>
      </c>
      <c r="L14" s="5798"/>
      <c r="M14" s="3154">
        <v>80</v>
      </c>
      <c r="N14" s="3154">
        <v>19</v>
      </c>
      <c r="O14" s="3154">
        <v>1</v>
      </c>
      <c r="P14" s="3154">
        <v>164</v>
      </c>
      <c r="Q14" s="3154">
        <v>5</v>
      </c>
      <c r="R14" s="3154">
        <v>1</v>
      </c>
      <c r="S14" s="3155" t="s">
        <v>1639</v>
      </c>
      <c r="T14" s="344"/>
    </row>
    <row r="15" spans="1:20" ht="15.75" customHeight="1">
      <c r="A15" s="3171" t="s">
        <v>1640</v>
      </c>
      <c r="B15" s="3158"/>
      <c r="C15" s="3170">
        <f t="shared" si="0"/>
        <v>0</v>
      </c>
      <c r="D15" s="3165">
        <f>$B15*D45/$B$6</f>
        <v>0</v>
      </c>
      <c r="E15" s="3162"/>
      <c r="F15" s="3162"/>
      <c r="G15" s="3162"/>
      <c r="H15" s="3165">
        <f>$B15*H45/$B$6</f>
        <v>0</v>
      </c>
      <c r="I15" s="3164"/>
      <c r="J15" s="361"/>
      <c r="K15" s="5799" t="s">
        <v>1839</v>
      </c>
      <c r="L15" s="5799"/>
      <c r="M15" s="3156">
        <v>7</v>
      </c>
      <c r="N15" s="3156">
        <v>0.8</v>
      </c>
      <c r="O15" s="3156">
        <v>3.2</v>
      </c>
      <c r="P15" s="3156">
        <v>9</v>
      </c>
      <c r="Q15" s="3156">
        <v>5.8</v>
      </c>
      <c r="R15" s="3156">
        <v>5</v>
      </c>
      <c r="S15" s="3155" t="s">
        <v>1641</v>
      </c>
      <c r="T15" s="344"/>
    </row>
    <row r="16" spans="1:20" ht="15.75" customHeight="1">
      <c r="A16" s="3171" t="s">
        <v>1642</v>
      </c>
      <c r="B16" s="3158"/>
      <c r="C16" s="3170">
        <f t="shared" si="0"/>
        <v>0</v>
      </c>
      <c r="D16" s="3162"/>
      <c r="E16" s="3162"/>
      <c r="F16" s="3165">
        <f>$B16*F46/$B$6</f>
        <v>0</v>
      </c>
      <c r="G16" s="3162"/>
      <c r="H16" s="3162"/>
      <c r="I16" s="3166">
        <f>$B16*I46/$B$6</f>
        <v>0</v>
      </c>
      <c r="J16" s="1579"/>
      <c r="K16" s="5800" t="s">
        <v>897</v>
      </c>
      <c r="L16" s="5800"/>
      <c r="M16" s="3156">
        <v>200</v>
      </c>
      <c r="N16" s="3156">
        <v>60</v>
      </c>
      <c r="O16" s="3156">
        <v>8</v>
      </c>
      <c r="P16" s="3156">
        <v>120</v>
      </c>
      <c r="Q16" s="3156">
        <v>125</v>
      </c>
      <c r="R16" s="3156">
        <v>12</v>
      </c>
      <c r="S16" s="3157" t="s">
        <v>1643</v>
      </c>
      <c r="T16" s="344"/>
    </row>
    <row r="17" spans="1:20" ht="15.75" customHeight="1">
      <c r="A17" s="3172" t="s">
        <v>1644</v>
      </c>
      <c r="B17" s="5796" t="s">
        <v>1839</v>
      </c>
      <c r="C17" s="5796"/>
      <c r="D17" s="3154">
        <v>7</v>
      </c>
      <c r="E17" s="3154">
        <v>0.8</v>
      </c>
      <c r="F17" s="3154">
        <v>3.2</v>
      </c>
      <c r="G17" s="3154">
        <v>9</v>
      </c>
      <c r="H17" s="3154">
        <v>5.8</v>
      </c>
      <c r="I17" s="3154">
        <v>5</v>
      </c>
      <c r="J17" s="1579"/>
      <c r="K17" s="5798" t="s">
        <v>1840</v>
      </c>
      <c r="L17" s="5798"/>
      <c r="M17" s="3154">
        <v>105</v>
      </c>
      <c r="N17" s="3154">
        <v>17</v>
      </c>
      <c r="O17" s="3154">
        <v>23</v>
      </c>
      <c r="P17" s="3154">
        <v>153</v>
      </c>
      <c r="Q17" s="3154">
        <v>66</v>
      </c>
      <c r="R17" s="3154">
        <v>30</v>
      </c>
      <c r="S17" s="3155" t="s">
        <v>1645</v>
      </c>
      <c r="T17" s="344"/>
    </row>
    <row r="18" spans="1:20" ht="15.75" customHeight="1">
      <c r="A18" s="3173"/>
      <c r="B18" s="5801" t="s">
        <v>1646</v>
      </c>
      <c r="C18" s="5801"/>
      <c r="D18" s="3167">
        <f>SUM(D11:D16)</f>
        <v>58.854740869565219</v>
      </c>
      <c r="E18" s="3167">
        <f t="shared" ref="E18:I18" si="1">SUM(E11:E16)</f>
        <v>18.186378260869564</v>
      </c>
      <c r="F18" s="3167">
        <f t="shared" si="1"/>
        <v>12.343695652173912</v>
      </c>
      <c r="G18" s="3167">
        <f t="shared" si="1"/>
        <v>109.7766</v>
      </c>
      <c r="H18" s="3167">
        <f t="shared" si="1"/>
        <v>72.046036956521746</v>
      </c>
      <c r="I18" s="3167">
        <f t="shared" si="1"/>
        <v>11.496095217391307</v>
      </c>
      <c r="J18" s="1579"/>
      <c r="K18" s="5796" t="s">
        <v>1647</v>
      </c>
      <c r="L18" s="5796"/>
      <c r="M18" s="3158">
        <v>62.4</v>
      </c>
      <c r="N18" s="3158">
        <v>21.8</v>
      </c>
      <c r="O18" s="3158">
        <v>16.8</v>
      </c>
      <c r="P18" s="3158">
        <v>247</v>
      </c>
      <c r="Q18" s="3158">
        <v>76</v>
      </c>
      <c r="R18" s="3158">
        <v>18</v>
      </c>
      <c r="S18" s="3159" t="s">
        <v>1648</v>
      </c>
      <c r="T18" s="344"/>
    </row>
    <row r="19" spans="1:20" ht="15.75" customHeight="1">
      <c r="A19" s="3859" t="s">
        <v>722</v>
      </c>
      <c r="B19" s="5803" t="s">
        <v>1649</v>
      </c>
      <c r="C19" s="5803"/>
      <c r="D19" s="3168">
        <f t="shared" ref="D19:I19" si="2">D17+D18</f>
        <v>65.854740869565219</v>
      </c>
      <c r="E19" s="3168">
        <f t="shared" si="2"/>
        <v>18.986378260869564</v>
      </c>
      <c r="F19" s="3168">
        <f t="shared" si="2"/>
        <v>15.543695652173913</v>
      </c>
      <c r="G19" s="3168">
        <f t="shared" si="2"/>
        <v>118.7766</v>
      </c>
      <c r="H19" s="3168">
        <f t="shared" si="2"/>
        <v>77.846036956521743</v>
      </c>
      <c r="I19" s="3168">
        <f t="shared" si="2"/>
        <v>16.496095217391307</v>
      </c>
      <c r="J19" s="361"/>
      <c r="K19" s="5804" t="s">
        <v>1650</v>
      </c>
      <c r="L19" s="5804"/>
      <c r="M19" s="5804"/>
      <c r="N19" s="5805" t="s">
        <v>1841</v>
      </c>
      <c r="O19" s="5805"/>
      <c r="P19" s="5805"/>
      <c r="Q19" s="5805"/>
      <c r="R19" s="1580"/>
      <c r="S19" s="492"/>
      <c r="T19" s="344"/>
    </row>
    <row r="20" spans="1:20" ht="15.75" customHeight="1">
      <c r="A20" s="3174" t="s">
        <v>1651</v>
      </c>
      <c r="B20" s="5796" t="s">
        <v>1647</v>
      </c>
      <c r="C20" s="5796"/>
      <c r="D20" s="3158">
        <v>64.400000000000006</v>
      </c>
      <c r="E20" s="3158">
        <v>21.8</v>
      </c>
      <c r="F20" s="3158">
        <v>16.8</v>
      </c>
      <c r="G20" s="3158">
        <v>247</v>
      </c>
      <c r="H20" s="3158">
        <v>76</v>
      </c>
      <c r="I20" s="3158">
        <v>18</v>
      </c>
      <c r="J20" s="361"/>
      <c r="K20" s="344"/>
      <c r="L20" s="344"/>
      <c r="M20" s="344"/>
      <c r="N20" s="344"/>
      <c r="O20" s="344"/>
      <c r="P20" s="344"/>
      <c r="Q20" s="344"/>
      <c r="R20" s="344"/>
      <c r="S20" s="344"/>
      <c r="T20" s="344"/>
    </row>
    <row r="21" spans="1:20" ht="15.75" customHeight="1">
      <c r="A21" s="1581"/>
      <c r="B21" s="5806" t="s">
        <v>1652</v>
      </c>
      <c r="C21" s="5806"/>
      <c r="D21" s="3169">
        <f>D20-D19</f>
        <v>-1.4547408695652138</v>
      </c>
      <c r="E21" s="3169">
        <f t="shared" ref="E21:I21" si="3">E20-E19</f>
        <v>2.8136217391304363</v>
      </c>
      <c r="F21" s="3169">
        <f t="shared" si="3"/>
        <v>1.256304347826088</v>
      </c>
      <c r="G21" s="3169">
        <f t="shared" si="3"/>
        <v>128.2234</v>
      </c>
      <c r="H21" s="3169">
        <f t="shared" si="3"/>
        <v>-1.8460369565217434</v>
      </c>
      <c r="I21" s="3169">
        <f t="shared" si="3"/>
        <v>1.5039047826086929</v>
      </c>
      <c r="J21" s="361"/>
      <c r="K21" s="5807" t="s">
        <v>1653</v>
      </c>
      <c r="L21" s="5807"/>
      <c r="M21" s="5807"/>
      <c r="N21" s="5807"/>
      <c r="O21" s="5807"/>
      <c r="P21" s="5807"/>
      <c r="Q21" s="5807"/>
      <c r="R21" s="5807"/>
      <c r="S21" s="5807"/>
      <c r="T21" s="344"/>
    </row>
    <row r="22" spans="1:20" ht="15.75" customHeight="1">
      <c r="A22" s="1581"/>
      <c r="B22" s="3777"/>
      <c r="C22" s="3777"/>
      <c r="D22" s="3778"/>
      <c r="E22" s="3778"/>
      <c r="F22" s="3778"/>
      <c r="G22" s="3778"/>
      <c r="H22" s="3778"/>
      <c r="I22" s="3778"/>
      <c r="J22" s="361"/>
      <c r="K22" s="3767"/>
      <c r="L22" s="3767"/>
      <c r="M22" s="3767"/>
      <c r="N22" s="3767"/>
      <c r="O22" s="3767"/>
      <c r="P22" s="3767"/>
      <c r="Q22" s="3767"/>
      <c r="R22" s="3767"/>
      <c r="S22" s="3767"/>
      <c r="T22" s="344"/>
    </row>
    <row r="23" spans="1:20" ht="15" customHeight="1">
      <c r="A23" s="3781"/>
      <c r="B23" s="3781"/>
      <c r="C23" s="3781"/>
      <c r="D23" s="3781"/>
      <c r="E23" s="3781"/>
      <c r="F23" s="3781"/>
      <c r="G23" s="3781"/>
      <c r="H23" s="3781"/>
      <c r="I23" s="3781"/>
      <c r="J23" s="361"/>
      <c r="K23" s="361"/>
      <c r="L23" s="361"/>
      <c r="M23" s="361"/>
      <c r="N23" s="361"/>
      <c r="O23" s="361"/>
      <c r="P23" s="361"/>
      <c r="Q23" s="361"/>
      <c r="R23" s="361"/>
      <c r="S23" s="344"/>
      <c r="T23" s="344"/>
    </row>
    <row r="24" spans="1:20" ht="15" customHeight="1">
      <c r="A24" s="5808" t="s">
        <v>1891</v>
      </c>
      <c r="B24" s="5809"/>
      <c r="C24" s="5809"/>
      <c r="D24" s="5809"/>
      <c r="E24" s="5809"/>
      <c r="F24" s="5809"/>
      <c r="G24" s="5809"/>
      <c r="H24" s="5809"/>
      <c r="I24" s="5810"/>
      <c r="J24" s="361"/>
      <c r="K24" s="5818" t="s">
        <v>1654</v>
      </c>
      <c r="L24" s="5819"/>
      <c r="M24" s="5819"/>
      <c r="N24" s="5819"/>
      <c r="O24" s="5819"/>
      <c r="P24" s="5819"/>
      <c r="Q24" s="5819"/>
      <c r="R24" s="5819"/>
      <c r="S24" s="5820"/>
      <c r="T24" s="344"/>
    </row>
    <row r="25" spans="1:20" ht="15" customHeight="1">
      <c r="A25" s="5811"/>
      <c r="B25" s="5812"/>
      <c r="C25" s="5812"/>
      <c r="D25" s="5812"/>
      <c r="E25" s="5812"/>
      <c r="F25" s="5812"/>
      <c r="G25" s="5812"/>
      <c r="H25" s="5812"/>
      <c r="I25" s="5813"/>
      <c r="J25" s="361"/>
      <c r="K25" s="5821"/>
      <c r="L25" s="5822"/>
      <c r="M25" s="5822"/>
      <c r="N25" s="5822"/>
      <c r="O25" s="5822"/>
      <c r="P25" s="5822"/>
      <c r="Q25" s="5822"/>
      <c r="R25" s="5822"/>
      <c r="S25" s="5823"/>
      <c r="T25" s="344"/>
    </row>
    <row r="26" spans="1:20" ht="15" customHeight="1">
      <c r="A26" s="5811"/>
      <c r="B26" s="5812"/>
      <c r="C26" s="5812"/>
      <c r="D26" s="5812"/>
      <c r="E26" s="5812"/>
      <c r="F26" s="5812"/>
      <c r="G26" s="5812"/>
      <c r="H26" s="5812"/>
      <c r="I26" s="5813"/>
      <c r="J26" s="361"/>
      <c r="K26" s="5821"/>
      <c r="L26" s="5822"/>
      <c r="M26" s="5822"/>
      <c r="N26" s="5822"/>
      <c r="O26" s="5822"/>
      <c r="P26" s="5822"/>
      <c r="Q26" s="5822"/>
      <c r="R26" s="5822"/>
      <c r="S26" s="5823"/>
      <c r="T26" s="344"/>
    </row>
    <row r="27" spans="1:20" ht="15" customHeight="1">
      <c r="A27" s="5811"/>
      <c r="B27" s="5812"/>
      <c r="C27" s="5812"/>
      <c r="D27" s="5812"/>
      <c r="E27" s="5812"/>
      <c r="F27" s="5812"/>
      <c r="G27" s="5812"/>
      <c r="H27" s="5812"/>
      <c r="I27" s="5813"/>
      <c r="J27" s="361"/>
      <c r="K27" s="5821"/>
      <c r="L27" s="5822"/>
      <c r="M27" s="5822"/>
      <c r="N27" s="5822"/>
      <c r="O27" s="5822"/>
      <c r="P27" s="5822"/>
      <c r="Q27" s="5822"/>
      <c r="R27" s="5822"/>
      <c r="S27" s="5823"/>
      <c r="T27" s="344"/>
    </row>
    <row r="28" spans="1:20" ht="15" customHeight="1">
      <c r="A28" s="5811"/>
      <c r="B28" s="5812"/>
      <c r="C28" s="5812"/>
      <c r="D28" s="5812"/>
      <c r="E28" s="5812"/>
      <c r="F28" s="5812"/>
      <c r="G28" s="5812"/>
      <c r="H28" s="5812"/>
      <c r="I28" s="5813"/>
      <c r="J28" s="361"/>
      <c r="K28" s="5821"/>
      <c r="L28" s="5822"/>
      <c r="M28" s="5822"/>
      <c r="N28" s="5822"/>
      <c r="O28" s="5822"/>
      <c r="P28" s="5822"/>
      <c r="Q28" s="5822"/>
      <c r="R28" s="5822"/>
      <c r="S28" s="5823"/>
      <c r="T28" s="344"/>
    </row>
    <row r="29" spans="1:20" ht="15" customHeight="1">
      <c r="A29" s="5814"/>
      <c r="B29" s="5812"/>
      <c r="C29" s="5812"/>
      <c r="D29" s="5812"/>
      <c r="E29" s="5812"/>
      <c r="F29" s="5812"/>
      <c r="G29" s="5812"/>
      <c r="H29" s="5812"/>
      <c r="I29" s="5813"/>
      <c r="J29" s="361"/>
      <c r="K29" s="5821"/>
      <c r="L29" s="5822"/>
      <c r="M29" s="5822"/>
      <c r="N29" s="5822"/>
      <c r="O29" s="5822"/>
      <c r="P29" s="5822"/>
      <c r="Q29" s="5822"/>
      <c r="R29" s="5822"/>
      <c r="S29" s="5823"/>
      <c r="T29" s="344"/>
    </row>
    <row r="30" spans="1:20" ht="15" customHeight="1">
      <c r="A30" s="5811"/>
      <c r="B30" s="5812"/>
      <c r="C30" s="5812"/>
      <c r="D30" s="5812"/>
      <c r="E30" s="5812"/>
      <c r="F30" s="5812"/>
      <c r="G30" s="5812"/>
      <c r="H30" s="5812"/>
      <c r="I30" s="5813"/>
      <c r="J30" s="361"/>
      <c r="K30" s="5821"/>
      <c r="L30" s="5822"/>
      <c r="M30" s="5822"/>
      <c r="N30" s="5822"/>
      <c r="O30" s="5822"/>
      <c r="P30" s="5822"/>
      <c r="Q30" s="5822"/>
      <c r="R30" s="5822"/>
      <c r="S30" s="5823"/>
      <c r="T30" s="344"/>
    </row>
    <row r="31" spans="1:20" ht="15" customHeight="1">
      <c r="A31" s="5811"/>
      <c r="B31" s="5812"/>
      <c r="C31" s="5812"/>
      <c r="D31" s="5812"/>
      <c r="E31" s="5812"/>
      <c r="F31" s="5812"/>
      <c r="G31" s="5812"/>
      <c r="H31" s="5812"/>
      <c r="I31" s="5813"/>
      <c r="J31" s="361"/>
      <c r="K31" s="5821"/>
      <c r="L31" s="5822"/>
      <c r="M31" s="5822"/>
      <c r="N31" s="5822"/>
      <c r="O31" s="5822"/>
      <c r="P31" s="5822"/>
      <c r="Q31" s="5822"/>
      <c r="R31" s="5822"/>
      <c r="S31" s="5823"/>
      <c r="T31" s="344"/>
    </row>
    <row r="32" spans="1:20" ht="15" customHeight="1">
      <c r="A32" s="5811"/>
      <c r="B32" s="5812"/>
      <c r="C32" s="5812"/>
      <c r="D32" s="5812"/>
      <c r="E32" s="5812"/>
      <c r="F32" s="5812"/>
      <c r="G32" s="5812"/>
      <c r="H32" s="5812"/>
      <c r="I32" s="5813"/>
      <c r="J32" s="361"/>
      <c r="K32" s="5821"/>
      <c r="L32" s="5822"/>
      <c r="M32" s="5822"/>
      <c r="N32" s="5822"/>
      <c r="O32" s="5822"/>
      <c r="P32" s="5822"/>
      <c r="Q32" s="5822"/>
      <c r="R32" s="5822"/>
      <c r="S32" s="5823"/>
      <c r="T32" s="344"/>
    </row>
    <row r="33" spans="1:20" ht="15" customHeight="1">
      <c r="A33" s="5811"/>
      <c r="B33" s="5812"/>
      <c r="C33" s="5812"/>
      <c r="D33" s="5812"/>
      <c r="E33" s="5812"/>
      <c r="F33" s="5812"/>
      <c r="G33" s="5812"/>
      <c r="H33" s="5812"/>
      <c r="I33" s="5813"/>
      <c r="J33" s="361"/>
      <c r="K33" s="5821"/>
      <c r="L33" s="5822"/>
      <c r="M33" s="5822"/>
      <c r="N33" s="5822"/>
      <c r="O33" s="5822"/>
      <c r="P33" s="5822"/>
      <c r="Q33" s="5822"/>
      <c r="R33" s="5822"/>
      <c r="S33" s="5823"/>
      <c r="T33" s="344"/>
    </row>
    <row r="34" spans="1:20" ht="15" customHeight="1">
      <c r="A34" s="5811"/>
      <c r="B34" s="5812"/>
      <c r="C34" s="5812"/>
      <c r="D34" s="5812"/>
      <c r="E34" s="5812"/>
      <c r="F34" s="5812"/>
      <c r="G34" s="5812"/>
      <c r="H34" s="5812"/>
      <c r="I34" s="5813"/>
      <c r="J34" s="361"/>
      <c r="K34" s="5821"/>
      <c r="L34" s="5822"/>
      <c r="M34" s="5822"/>
      <c r="N34" s="5822"/>
      <c r="O34" s="5822"/>
      <c r="P34" s="5822"/>
      <c r="Q34" s="5822"/>
      <c r="R34" s="5822"/>
      <c r="S34" s="5823"/>
      <c r="T34" s="344"/>
    </row>
    <row r="35" spans="1:20" ht="15" customHeight="1">
      <c r="A35" s="5811"/>
      <c r="B35" s="5812"/>
      <c r="C35" s="5812"/>
      <c r="D35" s="5812"/>
      <c r="E35" s="5812"/>
      <c r="F35" s="5812"/>
      <c r="G35" s="5812"/>
      <c r="H35" s="5812"/>
      <c r="I35" s="5813"/>
      <c r="J35" s="361"/>
      <c r="K35" s="5821"/>
      <c r="L35" s="5822"/>
      <c r="M35" s="5822"/>
      <c r="N35" s="5822"/>
      <c r="O35" s="5822"/>
      <c r="P35" s="5822"/>
      <c r="Q35" s="5822"/>
      <c r="R35" s="5822"/>
      <c r="S35" s="5823"/>
      <c r="T35" s="344"/>
    </row>
    <row r="36" spans="1:20" ht="15" customHeight="1">
      <c r="A36" s="5811"/>
      <c r="B36" s="5812"/>
      <c r="C36" s="5812"/>
      <c r="D36" s="5812"/>
      <c r="E36" s="5812"/>
      <c r="F36" s="5812"/>
      <c r="G36" s="5812"/>
      <c r="H36" s="5812"/>
      <c r="I36" s="5813"/>
      <c r="J36" s="361"/>
      <c r="K36" s="5821"/>
      <c r="L36" s="5822"/>
      <c r="M36" s="5822"/>
      <c r="N36" s="5822"/>
      <c r="O36" s="5822"/>
      <c r="P36" s="5822"/>
      <c r="Q36" s="5822"/>
      <c r="R36" s="5822"/>
      <c r="S36" s="5823"/>
      <c r="T36" s="344"/>
    </row>
    <row r="37" spans="1:20" ht="15" customHeight="1">
      <c r="A37" s="5815"/>
      <c r="B37" s="5816"/>
      <c r="C37" s="5816"/>
      <c r="D37" s="5816"/>
      <c r="E37" s="5816"/>
      <c r="F37" s="5816"/>
      <c r="G37" s="5816"/>
      <c r="H37" s="5816"/>
      <c r="I37" s="5817"/>
      <c r="J37" s="361"/>
      <c r="K37" s="5789" t="s">
        <v>1655</v>
      </c>
      <c r="L37" s="5790"/>
      <c r="M37" s="5790"/>
      <c r="N37" s="5790"/>
      <c r="O37" s="5790"/>
      <c r="P37" s="5790"/>
      <c r="Q37" s="1582"/>
      <c r="R37" s="1582"/>
      <c r="S37" s="1583"/>
      <c r="T37" s="344"/>
    </row>
    <row r="38" spans="1:20" ht="15" customHeight="1">
      <c r="A38" s="361"/>
      <c r="B38" s="1258"/>
      <c r="C38" s="1584"/>
      <c r="D38" s="1585"/>
      <c r="E38" s="1584"/>
      <c r="F38" s="1584"/>
      <c r="G38" s="1584"/>
      <c r="H38" s="1584"/>
      <c r="I38" s="1584"/>
      <c r="J38" s="1258"/>
      <c r="K38" s="5789"/>
      <c r="L38" s="5790"/>
      <c r="M38" s="5790"/>
      <c r="N38" s="5790"/>
      <c r="O38" s="5790"/>
      <c r="P38" s="5790"/>
      <c r="Q38" s="1582"/>
      <c r="R38" s="1582"/>
      <c r="S38" s="1583"/>
      <c r="T38" s="344"/>
    </row>
    <row r="39" spans="1:20" ht="15" customHeight="1">
      <c r="A39" s="361"/>
      <c r="B39" s="1586"/>
      <c r="C39" s="1586"/>
      <c r="D39" s="1587" t="s">
        <v>1656</v>
      </c>
      <c r="E39" s="1587" t="s">
        <v>1657</v>
      </c>
      <c r="F39" s="1587" t="s">
        <v>1658</v>
      </c>
      <c r="G39" s="1587" t="s">
        <v>1659</v>
      </c>
      <c r="H39" s="1587" t="s">
        <v>1660</v>
      </c>
      <c r="I39" s="1587" t="s">
        <v>1661</v>
      </c>
      <c r="J39" s="1258"/>
      <c r="K39" s="5789"/>
      <c r="L39" s="5790"/>
      <c r="M39" s="5790"/>
      <c r="N39" s="5790"/>
      <c r="O39" s="5790"/>
      <c r="P39" s="5790"/>
      <c r="Q39" s="1582"/>
      <c r="R39" s="1582"/>
      <c r="S39" s="1583"/>
      <c r="T39" s="344"/>
    </row>
    <row r="40" spans="1:20" ht="15" customHeight="1">
      <c r="A40" s="361"/>
      <c r="B40" s="1586"/>
      <c r="C40" s="1586"/>
      <c r="D40" s="1586"/>
      <c r="E40" s="1586"/>
      <c r="F40" s="1588"/>
      <c r="G40" s="1586"/>
      <c r="H40" s="1586"/>
      <c r="I40" s="1586"/>
      <c r="J40" s="1258"/>
      <c r="K40" s="5789"/>
      <c r="L40" s="5790"/>
      <c r="M40" s="5790"/>
      <c r="N40" s="5790"/>
      <c r="O40" s="5790"/>
      <c r="P40" s="5790"/>
      <c r="Q40" s="1582"/>
      <c r="R40" s="1582"/>
      <c r="S40" s="1583"/>
      <c r="T40" s="344"/>
    </row>
    <row r="41" spans="1:20" ht="15" customHeight="1">
      <c r="A41" s="361"/>
      <c r="B41" s="1586"/>
      <c r="C41" s="1589">
        <v>4.4000000000000004</v>
      </c>
      <c r="D41" s="1590"/>
      <c r="E41" s="1590"/>
      <c r="F41" s="1590">
        <v>283.90499999999997</v>
      </c>
      <c r="G41" s="1590">
        <v>719.226</v>
      </c>
      <c r="H41" s="1590"/>
      <c r="I41" s="1586"/>
      <c r="J41" s="1258"/>
      <c r="K41" s="5789"/>
      <c r="L41" s="5790"/>
      <c r="M41" s="5790"/>
      <c r="N41" s="5790"/>
      <c r="O41" s="5790"/>
      <c r="P41" s="5790"/>
      <c r="Q41" s="1582"/>
      <c r="R41" s="1582"/>
      <c r="S41" s="1583"/>
      <c r="T41" s="344"/>
    </row>
    <row r="42" spans="1:20" ht="15" customHeight="1">
      <c r="A42" s="361"/>
      <c r="B42" s="1586"/>
      <c r="C42" s="1589">
        <v>4</v>
      </c>
      <c r="D42" s="1590">
        <v>272.54880000000003</v>
      </c>
      <c r="E42" s="1590"/>
      <c r="F42" s="1590"/>
      <c r="G42" s="1590"/>
      <c r="H42" s="1590"/>
      <c r="I42" s="1586">
        <v>480.74580000000003</v>
      </c>
      <c r="J42" s="1258"/>
      <c r="K42" s="5789"/>
      <c r="L42" s="5790"/>
      <c r="M42" s="5790"/>
      <c r="N42" s="5790"/>
      <c r="O42" s="5790"/>
      <c r="P42" s="5790"/>
      <c r="Q42" s="1582"/>
      <c r="R42" s="1582"/>
      <c r="S42" s="1583"/>
      <c r="T42" s="344"/>
    </row>
    <row r="43" spans="1:20" ht="15" customHeight="1">
      <c r="A43" s="344"/>
      <c r="B43" s="1586"/>
      <c r="C43" s="1589">
        <v>1.8</v>
      </c>
      <c r="D43" s="1590">
        <v>401.25240000000002</v>
      </c>
      <c r="E43" s="1590"/>
      <c r="F43" s="1590"/>
      <c r="G43" s="1590">
        <v>601.87860000000001</v>
      </c>
      <c r="H43" s="1590"/>
      <c r="I43" s="1586"/>
      <c r="J43" s="1258"/>
      <c r="K43" s="5789"/>
      <c r="L43" s="5790"/>
      <c r="M43" s="5790"/>
      <c r="N43" s="5790"/>
      <c r="O43" s="5790"/>
      <c r="P43" s="5790"/>
      <c r="Q43" s="1582"/>
      <c r="R43" s="1582"/>
      <c r="S43" s="1583"/>
      <c r="T43" s="344"/>
    </row>
    <row r="44" spans="1:20" ht="15" customHeight="1">
      <c r="A44" s="344"/>
      <c r="B44" s="1586"/>
      <c r="C44" s="1589">
        <v>4</v>
      </c>
      <c r="D44" s="1590"/>
      <c r="E44" s="1590">
        <v>98.420400000000001</v>
      </c>
      <c r="F44" s="1590"/>
      <c r="G44" s="1590"/>
      <c r="H44" s="1590">
        <v>389.89620000000002</v>
      </c>
      <c r="I44" s="1586"/>
      <c r="J44" s="1591"/>
      <c r="K44" s="5789"/>
      <c r="L44" s="5790"/>
      <c r="M44" s="5790"/>
      <c r="N44" s="5790"/>
      <c r="O44" s="5790"/>
      <c r="P44" s="5790"/>
      <c r="Q44" s="1582"/>
      <c r="R44" s="1582"/>
      <c r="S44" s="1583"/>
      <c r="T44" s="344"/>
    </row>
    <row r="45" spans="1:20" ht="15" customHeight="1">
      <c r="A45" s="344"/>
      <c r="B45" s="1586"/>
      <c r="C45" s="1592">
        <v>4.4000000000000004</v>
      </c>
      <c r="D45" s="1590">
        <v>234.69480000000001</v>
      </c>
      <c r="E45" s="1590"/>
      <c r="F45" s="1590"/>
      <c r="G45" s="1590"/>
      <c r="H45" s="1590">
        <v>560.23919999999998</v>
      </c>
      <c r="I45" s="1586"/>
      <c r="J45" s="1591"/>
      <c r="K45" s="5789"/>
      <c r="L45" s="5790"/>
      <c r="M45" s="5790"/>
      <c r="N45" s="5790"/>
      <c r="O45" s="5790"/>
      <c r="P45" s="5790"/>
      <c r="Q45" s="1582"/>
      <c r="R45" s="1582"/>
      <c r="S45" s="1583"/>
      <c r="T45" s="344"/>
    </row>
    <row r="46" spans="1:20" ht="15" customHeight="1">
      <c r="A46" s="361"/>
      <c r="B46" s="1586"/>
      <c r="C46" s="1589">
        <v>5.3</v>
      </c>
      <c r="D46" s="1586"/>
      <c r="E46" s="1586"/>
      <c r="F46" s="1586">
        <v>393.6816</v>
      </c>
      <c r="G46" s="1586"/>
      <c r="H46" s="1586"/>
      <c r="I46" s="1586">
        <v>605.66399999999999</v>
      </c>
      <c r="J46" s="1591"/>
      <c r="K46" s="5789"/>
      <c r="L46" s="5790"/>
      <c r="M46" s="5790"/>
      <c r="N46" s="5790"/>
      <c r="O46" s="5790"/>
      <c r="P46" s="5790"/>
      <c r="Q46" s="1582"/>
      <c r="R46" s="1582"/>
      <c r="S46" s="1583"/>
      <c r="T46" s="344"/>
    </row>
    <row r="47" spans="1:20" ht="15" customHeight="1">
      <c r="A47" s="361"/>
      <c r="B47" s="1586"/>
      <c r="C47" s="1586"/>
      <c r="D47" s="1593"/>
      <c r="E47" s="1593"/>
      <c r="F47" s="1593"/>
      <c r="G47" s="1593"/>
      <c r="H47" s="1593"/>
      <c r="I47" s="1593"/>
      <c r="J47" s="5824"/>
      <c r="K47" s="5789"/>
      <c r="L47" s="5790"/>
      <c r="M47" s="5790"/>
      <c r="N47" s="5790"/>
      <c r="O47" s="5790"/>
      <c r="P47" s="5790"/>
      <c r="Q47" s="1582"/>
      <c r="R47" s="1582"/>
      <c r="S47" s="1583"/>
      <c r="T47" s="344"/>
    </row>
    <row r="48" spans="1:20" ht="15" customHeight="1">
      <c r="A48" s="361"/>
      <c r="B48" s="1586"/>
      <c r="C48" s="1586"/>
      <c r="D48" s="1593"/>
      <c r="E48" s="1593"/>
      <c r="F48" s="1593"/>
      <c r="G48" s="1593"/>
      <c r="H48" s="1593"/>
      <c r="I48" s="1593"/>
      <c r="J48" s="5824"/>
      <c r="K48" s="5789"/>
      <c r="L48" s="5790"/>
      <c r="M48" s="5790"/>
      <c r="N48" s="5790"/>
      <c r="O48" s="5790"/>
      <c r="P48" s="5790"/>
      <c r="Q48" s="1582"/>
      <c r="R48" s="1582"/>
      <c r="S48" s="1583"/>
      <c r="T48" s="344"/>
    </row>
    <row r="49" spans="1:20" ht="15" customHeight="1">
      <c r="A49" s="361"/>
      <c r="B49" s="1586"/>
      <c r="C49" s="1586"/>
      <c r="D49" s="1593"/>
      <c r="E49" s="1593"/>
      <c r="F49" s="1593"/>
      <c r="G49" s="1593"/>
      <c r="H49" s="1593"/>
      <c r="I49" s="1593"/>
      <c r="J49" s="5824"/>
      <c r="K49" s="5789"/>
      <c r="L49" s="5790"/>
      <c r="M49" s="5790"/>
      <c r="N49" s="5790"/>
      <c r="O49" s="5790"/>
      <c r="P49" s="5790"/>
      <c r="Q49" s="1582"/>
      <c r="R49" s="1582"/>
      <c r="S49" s="1583"/>
      <c r="T49" s="344"/>
    </row>
    <row r="50" spans="1:20" ht="15" customHeight="1">
      <c r="A50" s="361"/>
      <c r="B50" s="1594"/>
      <c r="C50" s="1594"/>
      <c r="D50" s="1594"/>
      <c r="E50" s="1594"/>
      <c r="F50" s="1594"/>
      <c r="G50" s="1594"/>
      <c r="H50" s="1594"/>
      <c r="I50" s="1593"/>
      <c r="J50" s="5824"/>
      <c r="K50" s="5789"/>
      <c r="L50" s="5790"/>
      <c r="M50" s="5790"/>
      <c r="N50" s="5790"/>
      <c r="O50" s="5790"/>
      <c r="P50" s="5790"/>
      <c r="Q50" s="1582"/>
      <c r="R50" s="1582"/>
      <c r="S50" s="1583"/>
      <c r="T50" s="344"/>
    </row>
    <row r="51" spans="1:20" ht="15" customHeight="1">
      <c r="A51" s="361"/>
      <c r="B51" s="1594"/>
      <c r="C51" s="1594"/>
      <c r="D51" s="1594"/>
      <c r="E51" s="1594"/>
      <c r="F51" s="1594"/>
      <c r="G51" s="1595"/>
      <c r="H51" s="1595"/>
      <c r="I51" s="1593"/>
      <c r="J51" s="1591"/>
      <c r="K51" s="3775"/>
      <c r="L51" s="3775"/>
      <c r="M51" s="3775"/>
      <c r="N51" s="3775"/>
      <c r="O51" s="3775"/>
      <c r="P51" s="3775"/>
      <c r="Q51" s="3776"/>
      <c r="R51" s="3776"/>
      <c r="S51" s="3776"/>
      <c r="T51" s="344"/>
    </row>
    <row r="52" spans="1:20" ht="15" customHeight="1">
      <c r="A52" s="361"/>
      <c r="B52" s="492"/>
      <c r="C52" s="492"/>
      <c r="D52" s="492"/>
      <c r="E52" s="492"/>
      <c r="F52" s="1596"/>
      <c r="G52" s="1597"/>
      <c r="H52" s="1597"/>
      <c r="I52" s="3475"/>
      <c r="J52" s="1575"/>
      <c r="K52" s="1598"/>
      <c r="L52" s="1598"/>
      <c r="M52" s="1598"/>
      <c r="N52" s="1598"/>
      <c r="O52" s="1599"/>
      <c r="P52" s="1599"/>
      <c r="Q52" s="1599"/>
      <c r="R52" s="1599"/>
      <c r="S52" s="1600" t="s">
        <v>231</v>
      </c>
      <c r="T52" s="344"/>
    </row>
    <row r="53" spans="1:20" ht="15" customHeight="1">
      <c r="A53" s="361"/>
      <c r="B53" s="492"/>
      <c r="C53" s="492"/>
      <c r="D53" s="492"/>
      <c r="E53" s="492"/>
      <c r="F53" s="492"/>
      <c r="G53" s="1596"/>
      <c r="H53" s="924"/>
      <c r="I53" s="3475"/>
      <c r="J53" s="1575"/>
      <c r="K53" s="361"/>
      <c r="L53" s="361"/>
      <c r="M53" s="361"/>
      <c r="N53" s="361"/>
      <c r="O53" s="361"/>
      <c r="P53" s="3899" t="s">
        <v>924</v>
      </c>
      <c r="Q53" s="3899"/>
      <c r="R53" s="3899"/>
      <c r="S53" s="3540" t="s">
        <v>1</v>
      </c>
      <c r="T53" s="344"/>
    </row>
    <row r="54" spans="1:20" ht="15" customHeight="1">
      <c r="A54" s="361"/>
      <c r="B54" s="492"/>
      <c r="C54" s="344"/>
      <c r="D54" s="344"/>
      <c r="E54" s="344"/>
      <c r="F54" s="492"/>
      <c r="G54" s="924"/>
      <c r="H54" s="924"/>
      <c r="I54" s="1596"/>
      <c r="J54" s="1575"/>
      <c r="K54" s="5802" t="s">
        <v>1012</v>
      </c>
      <c r="L54" s="5802"/>
      <c r="M54" s="5802"/>
      <c r="N54" s="5802"/>
      <c r="O54" s="5802"/>
      <c r="P54" s="3899" t="s">
        <v>232</v>
      </c>
      <c r="Q54" s="3899"/>
      <c r="R54" s="3899"/>
      <c r="S54" s="3540" t="s">
        <v>233</v>
      </c>
      <c r="T54" s="344"/>
    </row>
    <row r="55" spans="1:20" ht="15" customHeight="1">
      <c r="A55" s="1601"/>
      <c r="B55" s="1601"/>
      <c r="C55" s="1601"/>
      <c r="D55" s="1601"/>
      <c r="E55" s="1601"/>
      <c r="F55" s="1601"/>
      <c r="G55" s="1601"/>
      <c r="H55" s="1601"/>
      <c r="I55" s="344"/>
      <c r="J55" s="344"/>
      <c r="K55" s="5802"/>
      <c r="L55" s="5802"/>
      <c r="M55" s="5802"/>
      <c r="N55" s="5802"/>
      <c r="O55" s="5802"/>
      <c r="P55" s="3899" t="s">
        <v>234</v>
      </c>
      <c r="Q55" s="3899"/>
      <c r="R55" s="3899"/>
      <c r="S55" s="3540" t="s">
        <v>235</v>
      </c>
      <c r="T55" s="344"/>
    </row>
    <row r="56" spans="1:20" ht="15" customHeight="1">
      <c r="A56" s="344"/>
      <c r="B56" s="344"/>
      <c r="C56" s="344"/>
      <c r="D56" s="344"/>
      <c r="E56" s="344"/>
      <c r="F56" s="344"/>
      <c r="G56" s="344"/>
      <c r="H56" s="344"/>
      <c r="I56" s="344"/>
      <c r="J56" s="344"/>
      <c r="K56" s="344"/>
      <c r="L56" s="344"/>
      <c r="M56" s="344"/>
      <c r="N56" s="344"/>
      <c r="O56" s="344"/>
      <c r="P56" s="344"/>
      <c r="Q56" s="344"/>
      <c r="R56" s="344"/>
      <c r="S56" s="344"/>
      <c r="T56" s="344"/>
    </row>
  </sheetData>
  <sheetProtection password="FA80" sheet="1" objects="1" scenarios="1"/>
  <mergeCells count="34">
    <mergeCell ref="K54:O55"/>
    <mergeCell ref="P54:R54"/>
    <mergeCell ref="P55:R55"/>
    <mergeCell ref="B19:C19"/>
    <mergeCell ref="K19:M19"/>
    <mergeCell ref="N19:Q19"/>
    <mergeCell ref="B20:C20"/>
    <mergeCell ref="B21:C21"/>
    <mergeCell ref="K21:S21"/>
    <mergeCell ref="A24:I37"/>
    <mergeCell ref="K24:S36"/>
    <mergeCell ref="P53:R53"/>
    <mergeCell ref="J47:J50"/>
    <mergeCell ref="C4:G4"/>
    <mergeCell ref="C6:H6"/>
    <mergeCell ref="K4:M4"/>
    <mergeCell ref="K18:L18"/>
    <mergeCell ref="B9:C9"/>
    <mergeCell ref="K9:L9"/>
    <mergeCell ref="K10:L10"/>
    <mergeCell ref="K11:L11"/>
    <mergeCell ref="K12:L12"/>
    <mergeCell ref="K13:L13"/>
    <mergeCell ref="K14:L14"/>
    <mergeCell ref="K15:L15"/>
    <mergeCell ref="K16:L16"/>
    <mergeCell ref="B17:C17"/>
    <mergeCell ref="K17:L17"/>
    <mergeCell ref="B18:C18"/>
    <mergeCell ref="H2:N2"/>
    <mergeCell ref="H1:N1"/>
    <mergeCell ref="K37:P50"/>
    <mergeCell ref="K8:L8"/>
    <mergeCell ref="O3:R5"/>
  </mergeCells>
  <hyperlinks>
    <hyperlink ref="S2" r:id="rId1"/>
    <hyperlink ref="S53" r:id="rId2"/>
    <hyperlink ref="S54" r:id="rId3"/>
    <hyperlink ref="S55" r:id="rId4"/>
  </hyperlinks>
  <printOptions horizontalCentered="1"/>
  <pageMargins left="0.31496062992125984" right="0.31496062992125984" top="0.49" bottom="0.55118110236220474" header="0.19685039370078741" footer="0.51181102362204722"/>
  <pageSetup paperSize="9" scale="62" orientation="landscape" horizontalDpi="30066" verticalDpi="26478" r:id="rId5"/>
  <headerFooter alignWithMargins="0"/>
  <drawing r:id="rId6"/>
</worksheet>
</file>

<file path=xl/worksheets/sheet11.xml><?xml version="1.0" encoding="utf-8"?>
<worksheet xmlns="http://schemas.openxmlformats.org/spreadsheetml/2006/main" xmlns:r="http://schemas.openxmlformats.org/officeDocument/2006/relationships">
  <sheetPr>
    <pageSetUpPr fitToPage="1"/>
  </sheetPr>
  <dimension ref="A1:Q146"/>
  <sheetViews>
    <sheetView zoomScale="75" zoomScaleNormal="75" zoomScaleSheetLayoutView="75" workbookViewId="0">
      <pane ySplit="4" topLeftCell="A115" activePane="bottomLeft" state="frozen"/>
      <selection activeCell="P62" sqref="P62:U62"/>
      <selection pane="bottomLeft" activeCell="A124" sqref="A124:G124"/>
    </sheetView>
  </sheetViews>
  <sheetFormatPr defaultColWidth="6.7109375" defaultRowHeight="15"/>
  <cols>
    <col min="1" max="1" width="40.28515625" style="1133" customWidth="1"/>
    <col min="2" max="2" width="5.85546875" style="1133" customWidth="1"/>
    <col min="3" max="3" width="31.140625" style="1133" customWidth="1"/>
    <col min="4" max="4" width="15" style="1133" customWidth="1"/>
    <col min="5" max="5" width="30.28515625" style="1133" customWidth="1"/>
    <col min="6" max="6" width="16.140625" style="1133" customWidth="1"/>
    <col min="7" max="9" width="12.85546875" style="1133" customWidth="1"/>
    <col min="10" max="10" width="13.140625" style="1133" customWidth="1"/>
    <col min="11" max="11" width="13.140625" style="1563" customWidth="1"/>
    <col min="12" max="12" width="13.140625" style="1133" customWidth="1"/>
    <col min="13" max="16" width="12.85546875" style="1133" customWidth="1"/>
    <col min="17" max="17" width="2.42578125" style="1133" customWidth="1"/>
    <col min="18" max="16384" width="6.7109375" style="1483"/>
  </cols>
  <sheetData>
    <row r="1" spans="1:17" ht="30">
      <c r="A1" s="1480" t="s">
        <v>1918</v>
      </c>
      <c r="B1" s="1480"/>
      <c r="C1" s="1162"/>
      <c r="D1" s="1214"/>
      <c r="E1" s="5863" t="s">
        <v>1391</v>
      </c>
      <c r="F1" s="5863"/>
      <c r="G1" s="5863"/>
      <c r="H1" s="5863"/>
      <c r="I1" s="5863"/>
      <c r="J1" s="1481"/>
      <c r="K1" s="5864"/>
      <c r="L1" s="5864"/>
      <c r="M1" s="1482"/>
      <c r="N1" s="1482"/>
      <c r="O1" s="4674" t="s">
        <v>1917</v>
      </c>
      <c r="P1" s="4674"/>
      <c r="Q1" s="1545"/>
    </row>
    <row r="2" spans="1:17" ht="16.5" customHeight="1">
      <c r="A2" s="1484"/>
      <c r="B2" s="1484"/>
      <c r="C2" s="1162"/>
      <c r="D2" s="1485"/>
      <c r="E2" s="1485"/>
      <c r="F2" s="1485"/>
      <c r="G2" s="1485"/>
      <c r="H2" s="1485"/>
      <c r="I2" s="1214"/>
      <c r="J2" s="1485"/>
      <c r="K2" s="1486"/>
      <c r="L2" s="1486"/>
      <c r="M2" s="1485"/>
      <c r="N2" s="1485"/>
      <c r="O2" s="4247" t="s">
        <v>1</v>
      </c>
      <c r="P2" s="4247"/>
      <c r="Q2" s="1545"/>
    </row>
    <row r="3" spans="1:17" ht="16.5" customHeight="1">
      <c r="A3" s="5865" t="s">
        <v>1392</v>
      </c>
      <c r="B3" s="5865"/>
      <c r="C3" s="5865"/>
      <c r="D3" s="5865"/>
      <c r="E3" s="1162" t="s">
        <v>1724</v>
      </c>
      <c r="F3" s="1162"/>
      <c r="G3" s="1162"/>
      <c r="H3" s="1347"/>
      <c r="I3" s="5866" t="s">
        <v>1393</v>
      </c>
      <c r="J3" s="5866"/>
      <c r="K3" s="5866" t="s">
        <v>1394</v>
      </c>
      <c r="L3" s="5866"/>
      <c r="M3" s="5867" t="s">
        <v>1395</v>
      </c>
      <c r="N3" s="5867"/>
      <c r="O3" s="5868" t="s">
        <v>307</v>
      </c>
      <c r="P3" s="5868"/>
      <c r="Q3" s="1545"/>
    </row>
    <row r="4" spans="1:17" ht="16.5" customHeight="1">
      <c r="A4" s="3610" t="s">
        <v>1396</v>
      </c>
      <c r="B4" s="2021" t="s">
        <v>1397</v>
      </c>
      <c r="C4" s="3611" t="s">
        <v>1398</v>
      </c>
      <c r="D4" s="3611" t="s">
        <v>1399</v>
      </c>
      <c r="E4" s="3611" t="s">
        <v>1400</v>
      </c>
      <c r="F4" s="3612" t="s">
        <v>1401</v>
      </c>
      <c r="G4" s="2020" t="s">
        <v>1402</v>
      </c>
      <c r="H4" s="2022" t="s">
        <v>1403</v>
      </c>
      <c r="I4" s="2020" t="s">
        <v>1404</v>
      </c>
      <c r="J4" s="2022" t="s">
        <v>1405</v>
      </c>
      <c r="K4" s="2020" t="s">
        <v>1406</v>
      </c>
      <c r="L4" s="2022" t="s">
        <v>1407</v>
      </c>
      <c r="M4" s="2020" t="s">
        <v>1408</v>
      </c>
      <c r="N4" s="2022" t="s">
        <v>1409</v>
      </c>
      <c r="O4" s="2021" t="s">
        <v>1410</v>
      </c>
      <c r="P4" s="2022" t="s">
        <v>1411</v>
      </c>
      <c r="Q4" s="1545"/>
    </row>
    <row r="5" spans="1:17" ht="16.5" customHeight="1">
      <c r="A5" s="2023" t="s">
        <v>1412</v>
      </c>
      <c r="B5" s="1487" t="s">
        <v>1413</v>
      </c>
      <c r="C5" s="1488" t="s">
        <v>1414</v>
      </c>
      <c r="D5" s="1488" t="s">
        <v>1415</v>
      </c>
      <c r="E5" s="1488" t="s">
        <v>1416</v>
      </c>
      <c r="F5" s="1488" t="s">
        <v>1417</v>
      </c>
      <c r="G5" s="1489">
        <v>2.8</v>
      </c>
      <c r="H5" s="1490">
        <v>4.2</v>
      </c>
      <c r="I5" s="1491">
        <v>8</v>
      </c>
      <c r="J5" s="1492">
        <v>12</v>
      </c>
      <c r="K5" s="1489">
        <v>2</v>
      </c>
      <c r="L5" s="1493">
        <v>3</v>
      </c>
      <c r="M5" s="1494">
        <v>1028</v>
      </c>
      <c r="N5" s="1495">
        <v>1040</v>
      </c>
      <c r="O5" s="1487">
        <v>998</v>
      </c>
      <c r="P5" s="1495">
        <v>1008</v>
      </c>
      <c r="Q5" s="1545"/>
    </row>
    <row r="6" spans="1:17" ht="16.5" customHeight="1">
      <c r="A6" s="2023"/>
      <c r="B6" s="1487" t="s">
        <v>1418</v>
      </c>
      <c r="C6" s="1488" t="s">
        <v>1419</v>
      </c>
      <c r="D6" s="1488" t="s">
        <v>1415</v>
      </c>
      <c r="E6" s="1488" t="s">
        <v>1416</v>
      </c>
      <c r="F6" s="1488" t="s">
        <v>1417</v>
      </c>
      <c r="G6" s="1496">
        <v>4.2</v>
      </c>
      <c r="H6" s="1497">
        <v>5.3</v>
      </c>
      <c r="I6" s="1498">
        <v>8</v>
      </c>
      <c r="J6" s="1499">
        <v>18</v>
      </c>
      <c r="K6" s="1496">
        <v>2</v>
      </c>
      <c r="L6" s="1500">
        <v>4</v>
      </c>
      <c r="M6" s="1494">
        <v>1040</v>
      </c>
      <c r="N6" s="1495">
        <v>1050</v>
      </c>
      <c r="O6" s="1487">
        <v>1004</v>
      </c>
      <c r="P6" s="1495">
        <v>1010</v>
      </c>
      <c r="Q6" s="1545"/>
    </row>
    <row r="7" spans="1:17" ht="16.5" customHeight="1">
      <c r="A7" s="2023"/>
      <c r="B7" s="1487" t="s">
        <v>1420</v>
      </c>
      <c r="C7" s="1488" t="s">
        <v>852</v>
      </c>
      <c r="D7" s="1488" t="s">
        <v>1421</v>
      </c>
      <c r="E7" s="1488" t="s">
        <v>1422</v>
      </c>
      <c r="F7" s="1488" t="s">
        <v>1417</v>
      </c>
      <c r="G7" s="1496">
        <v>4.2</v>
      </c>
      <c r="H7" s="1497">
        <v>5.6</v>
      </c>
      <c r="I7" s="1498">
        <v>8</v>
      </c>
      <c r="J7" s="1499">
        <v>20</v>
      </c>
      <c r="K7" s="1496">
        <v>2.5</v>
      </c>
      <c r="L7" s="1500">
        <v>5</v>
      </c>
      <c r="M7" s="1494">
        <v>1042</v>
      </c>
      <c r="N7" s="1495">
        <v>1055</v>
      </c>
      <c r="O7" s="1487">
        <v>1006</v>
      </c>
      <c r="P7" s="1495">
        <v>1012</v>
      </c>
      <c r="Q7" s="1545"/>
    </row>
    <row r="8" spans="1:17" ht="16.5" customHeight="1">
      <c r="A8" s="2023"/>
      <c r="B8" s="1487" t="s">
        <v>1423</v>
      </c>
      <c r="C8" s="1488" t="s">
        <v>1424</v>
      </c>
      <c r="D8" s="1488" t="s">
        <v>1425</v>
      </c>
      <c r="E8" s="1488" t="s">
        <v>1425</v>
      </c>
      <c r="F8" s="1488" t="s">
        <v>1417</v>
      </c>
      <c r="G8" s="1496">
        <v>4</v>
      </c>
      <c r="H8" s="1497">
        <v>5.5</v>
      </c>
      <c r="I8" s="1498">
        <v>15</v>
      </c>
      <c r="J8" s="1499">
        <v>30</v>
      </c>
      <c r="K8" s="1496">
        <v>3</v>
      </c>
      <c r="L8" s="1500">
        <v>6</v>
      </c>
      <c r="M8" s="1494">
        <v>1040</v>
      </c>
      <c r="N8" s="1495">
        <v>1055</v>
      </c>
      <c r="O8" s="1487">
        <v>1008</v>
      </c>
      <c r="P8" s="1495">
        <v>1013</v>
      </c>
      <c r="Q8" s="1545"/>
    </row>
    <row r="9" spans="1:17" ht="16.5" customHeight="1">
      <c r="A9" s="2024" t="s">
        <v>1426</v>
      </c>
      <c r="B9" s="1501" t="s">
        <v>1413</v>
      </c>
      <c r="C9" s="1502" t="s">
        <v>1427</v>
      </c>
      <c r="D9" s="1502" t="s">
        <v>1415</v>
      </c>
      <c r="E9" s="1502" t="s">
        <v>1416</v>
      </c>
      <c r="F9" s="1502" t="s">
        <v>1428</v>
      </c>
      <c r="G9" s="1496">
        <v>4.5999999999999996</v>
      </c>
      <c r="H9" s="1497">
        <v>6</v>
      </c>
      <c r="I9" s="1498">
        <v>18</v>
      </c>
      <c r="J9" s="1499">
        <v>25</v>
      </c>
      <c r="K9" s="1496">
        <v>2</v>
      </c>
      <c r="L9" s="1500">
        <v>6</v>
      </c>
      <c r="M9" s="1503">
        <v>1042</v>
      </c>
      <c r="N9" s="1504">
        <v>1050</v>
      </c>
      <c r="O9" s="1501">
        <v>1008</v>
      </c>
      <c r="P9" s="1504">
        <v>1012</v>
      </c>
      <c r="Q9" s="1545"/>
    </row>
    <row r="10" spans="1:17" ht="16.5" customHeight="1">
      <c r="A10" s="2023"/>
      <c r="B10" s="1487" t="s">
        <v>1418</v>
      </c>
      <c r="C10" s="1488" t="s">
        <v>1429</v>
      </c>
      <c r="D10" s="1488" t="s">
        <v>1430</v>
      </c>
      <c r="E10" s="1488" t="s">
        <v>1430</v>
      </c>
      <c r="F10" s="1488" t="s">
        <v>1428</v>
      </c>
      <c r="G10" s="1496">
        <v>4.5999999999999996</v>
      </c>
      <c r="H10" s="1497">
        <v>6</v>
      </c>
      <c r="I10" s="1498">
        <v>8</v>
      </c>
      <c r="J10" s="1499">
        <v>25</v>
      </c>
      <c r="K10" s="1496">
        <v>7</v>
      </c>
      <c r="L10" s="1500">
        <v>14</v>
      </c>
      <c r="M10" s="1494">
        <v>1042</v>
      </c>
      <c r="N10" s="1495">
        <v>1055</v>
      </c>
      <c r="O10" s="1487">
        <v>1008</v>
      </c>
      <c r="P10" s="1495">
        <v>1014</v>
      </c>
      <c r="Q10" s="1545"/>
    </row>
    <row r="11" spans="1:17" ht="16.5" customHeight="1">
      <c r="A11" s="2025"/>
      <c r="B11" s="1505" t="s">
        <v>1420</v>
      </c>
      <c r="C11" s="1506" t="s">
        <v>1431</v>
      </c>
      <c r="D11" s="1506" t="s">
        <v>1432</v>
      </c>
      <c r="E11" s="1506" t="s">
        <v>1432</v>
      </c>
      <c r="F11" s="1506" t="s">
        <v>1428</v>
      </c>
      <c r="G11" s="1496">
        <v>4.2</v>
      </c>
      <c r="H11" s="1497">
        <v>6</v>
      </c>
      <c r="I11" s="1498">
        <v>8</v>
      </c>
      <c r="J11" s="1499">
        <v>20</v>
      </c>
      <c r="K11" s="1496">
        <v>14</v>
      </c>
      <c r="L11" s="1500">
        <v>22</v>
      </c>
      <c r="M11" s="1507">
        <v>1044</v>
      </c>
      <c r="N11" s="1508">
        <v>1056</v>
      </c>
      <c r="O11" s="1505">
        <v>1008</v>
      </c>
      <c r="P11" s="1508">
        <v>1012</v>
      </c>
      <c r="Q11" s="1545"/>
    </row>
    <row r="12" spans="1:17" ht="16.5" customHeight="1">
      <c r="A12" s="2023" t="s">
        <v>1433</v>
      </c>
      <c r="B12" s="1487" t="s">
        <v>1413</v>
      </c>
      <c r="C12" s="1488" t="s">
        <v>1434</v>
      </c>
      <c r="D12" s="1488" t="s">
        <v>1415</v>
      </c>
      <c r="E12" s="1488" t="s">
        <v>1435</v>
      </c>
      <c r="F12" s="1488" t="s">
        <v>1436</v>
      </c>
      <c r="G12" s="1496">
        <v>3</v>
      </c>
      <c r="H12" s="1497">
        <v>4.0999999999999996</v>
      </c>
      <c r="I12" s="1498">
        <v>20</v>
      </c>
      <c r="J12" s="1499">
        <v>35</v>
      </c>
      <c r="K12" s="1496">
        <v>3</v>
      </c>
      <c r="L12" s="1500">
        <v>6</v>
      </c>
      <c r="M12" s="1494">
        <v>1028</v>
      </c>
      <c r="N12" s="1495">
        <v>1044</v>
      </c>
      <c r="O12" s="1487">
        <v>1008</v>
      </c>
      <c r="P12" s="1495">
        <v>1014</v>
      </c>
      <c r="Q12" s="1545"/>
    </row>
    <row r="13" spans="1:17" ht="16.5" customHeight="1">
      <c r="A13" s="2023"/>
      <c r="B13" s="1487" t="s">
        <v>1418</v>
      </c>
      <c r="C13" s="1488" t="s">
        <v>1437</v>
      </c>
      <c r="D13" s="1488" t="s">
        <v>1435</v>
      </c>
      <c r="E13" s="1488" t="s">
        <v>1435</v>
      </c>
      <c r="F13" s="1488" t="s">
        <v>1436</v>
      </c>
      <c r="G13" s="1496">
        <v>4.2</v>
      </c>
      <c r="H13" s="1497">
        <v>5.8</v>
      </c>
      <c r="I13" s="1498">
        <v>30</v>
      </c>
      <c r="J13" s="1499">
        <v>45</v>
      </c>
      <c r="K13" s="1496">
        <v>3.5</v>
      </c>
      <c r="L13" s="1500">
        <v>6</v>
      </c>
      <c r="M13" s="1494">
        <v>1044</v>
      </c>
      <c r="N13" s="1495">
        <v>1060</v>
      </c>
      <c r="O13" s="1487">
        <v>1013</v>
      </c>
      <c r="P13" s="1495">
        <v>1017</v>
      </c>
      <c r="Q13" s="1545"/>
    </row>
    <row r="14" spans="1:17" ht="16.5" customHeight="1">
      <c r="A14" s="2023"/>
      <c r="B14" s="1487" t="s">
        <v>1420</v>
      </c>
      <c r="C14" s="1488" t="s">
        <v>1438</v>
      </c>
      <c r="D14" s="1488" t="s">
        <v>1430</v>
      </c>
      <c r="E14" s="1488" t="s">
        <v>1430</v>
      </c>
      <c r="F14" s="1488" t="s">
        <v>1436</v>
      </c>
      <c r="G14" s="1496">
        <v>4.4000000000000004</v>
      </c>
      <c r="H14" s="1497">
        <v>5.8</v>
      </c>
      <c r="I14" s="1498">
        <v>20</v>
      </c>
      <c r="J14" s="1499">
        <v>35</v>
      </c>
      <c r="K14" s="1496">
        <v>10</v>
      </c>
      <c r="L14" s="1500">
        <v>16</v>
      </c>
      <c r="M14" s="1494">
        <v>1044</v>
      </c>
      <c r="N14" s="1495">
        <v>1060</v>
      </c>
      <c r="O14" s="1487">
        <v>1013</v>
      </c>
      <c r="P14" s="1495">
        <v>1017</v>
      </c>
      <c r="Q14" s="1545"/>
    </row>
    <row r="15" spans="1:17" ht="16.5" customHeight="1">
      <c r="A15" s="2026"/>
      <c r="B15" s="1509" t="s">
        <v>1423</v>
      </c>
      <c r="C15" s="1510" t="s">
        <v>1439</v>
      </c>
      <c r="D15" s="1510" t="s">
        <v>1432</v>
      </c>
      <c r="E15" s="1510" t="s">
        <v>1432</v>
      </c>
      <c r="F15" s="1510" t="s">
        <v>1436</v>
      </c>
      <c r="G15" s="1496">
        <v>4.4000000000000004</v>
      </c>
      <c r="H15" s="1497">
        <v>5.8</v>
      </c>
      <c r="I15" s="1498">
        <v>18</v>
      </c>
      <c r="J15" s="1499">
        <v>34</v>
      </c>
      <c r="K15" s="1496">
        <v>14</v>
      </c>
      <c r="L15" s="1500">
        <v>35</v>
      </c>
      <c r="M15" s="1511">
        <v>1044</v>
      </c>
      <c r="N15" s="1512">
        <v>1060</v>
      </c>
      <c r="O15" s="1509">
        <v>1013</v>
      </c>
      <c r="P15" s="1512">
        <v>1017</v>
      </c>
      <c r="Q15" s="1545"/>
    </row>
    <row r="16" spans="1:17" ht="16.5" customHeight="1">
      <c r="A16" s="2023" t="s">
        <v>1440</v>
      </c>
      <c r="B16" s="1487" t="s">
        <v>1413</v>
      </c>
      <c r="C16" s="1488" t="s">
        <v>1441</v>
      </c>
      <c r="D16" s="1488" t="s">
        <v>1415</v>
      </c>
      <c r="E16" s="1488" t="s">
        <v>1442</v>
      </c>
      <c r="F16" s="1488" t="s">
        <v>1443</v>
      </c>
      <c r="G16" s="1496">
        <v>4.7</v>
      </c>
      <c r="H16" s="1497">
        <v>5.4</v>
      </c>
      <c r="I16" s="1498">
        <v>16</v>
      </c>
      <c r="J16" s="1499">
        <v>22</v>
      </c>
      <c r="K16" s="1496">
        <v>3</v>
      </c>
      <c r="L16" s="1500">
        <v>5</v>
      </c>
      <c r="M16" s="1494">
        <v>1044</v>
      </c>
      <c r="N16" s="1495">
        <v>1048</v>
      </c>
      <c r="O16" s="1487">
        <v>1006</v>
      </c>
      <c r="P16" s="1495">
        <v>1012</v>
      </c>
      <c r="Q16" s="1545"/>
    </row>
    <row r="17" spans="1:17" ht="16.5" customHeight="1">
      <c r="A17" s="2023"/>
      <c r="B17" s="1487" t="s">
        <v>1418</v>
      </c>
      <c r="C17" s="1488" t="s">
        <v>1444</v>
      </c>
      <c r="D17" s="1488" t="s">
        <v>1415</v>
      </c>
      <c r="E17" s="1488" t="s">
        <v>1442</v>
      </c>
      <c r="F17" s="1488" t="s">
        <v>1443</v>
      </c>
      <c r="G17" s="1496">
        <v>5.8</v>
      </c>
      <c r="H17" s="1497">
        <v>6.3</v>
      </c>
      <c r="I17" s="1498">
        <v>18</v>
      </c>
      <c r="J17" s="1499">
        <v>25</v>
      </c>
      <c r="K17" s="1496">
        <v>4</v>
      </c>
      <c r="L17" s="1500">
        <v>7</v>
      </c>
      <c r="M17" s="1494">
        <v>1054</v>
      </c>
      <c r="N17" s="1495">
        <v>1057</v>
      </c>
      <c r="O17" s="1487">
        <v>1010</v>
      </c>
      <c r="P17" s="1495">
        <v>1012</v>
      </c>
      <c r="Q17" s="1545"/>
    </row>
    <row r="18" spans="1:17" ht="16.5" customHeight="1">
      <c r="A18" s="2023"/>
      <c r="B18" s="1487" t="s">
        <v>1420</v>
      </c>
      <c r="C18" s="1488" t="s">
        <v>871</v>
      </c>
      <c r="D18" s="1488" t="s">
        <v>848</v>
      </c>
      <c r="E18" s="1488" t="s">
        <v>1442</v>
      </c>
      <c r="F18" s="1488" t="s">
        <v>1443</v>
      </c>
      <c r="G18" s="1496">
        <v>6.3</v>
      </c>
      <c r="H18" s="1497">
        <v>7.4</v>
      </c>
      <c r="I18" s="1498">
        <v>23</v>
      </c>
      <c r="J18" s="1499">
        <v>35</v>
      </c>
      <c r="K18" s="1496">
        <v>6</v>
      </c>
      <c r="L18" s="1500">
        <v>11</v>
      </c>
      <c r="M18" s="1494">
        <v>1064</v>
      </c>
      <c r="N18" s="1495">
        <v>1072</v>
      </c>
      <c r="O18" s="1487">
        <v>1011</v>
      </c>
      <c r="P18" s="1495">
        <v>1018</v>
      </c>
      <c r="Q18" s="1545"/>
    </row>
    <row r="19" spans="1:17" ht="16.5" customHeight="1">
      <c r="A19" s="2024" t="s">
        <v>1445</v>
      </c>
      <c r="B19" s="1501" t="s">
        <v>1413</v>
      </c>
      <c r="C19" s="1502" t="s">
        <v>1446</v>
      </c>
      <c r="D19" s="1502" t="s">
        <v>1415</v>
      </c>
      <c r="E19" s="1502" t="s">
        <v>1435</v>
      </c>
      <c r="F19" s="1502" t="s">
        <v>1443</v>
      </c>
      <c r="G19" s="1496">
        <v>2.4</v>
      </c>
      <c r="H19" s="1497">
        <v>3.6</v>
      </c>
      <c r="I19" s="1498">
        <v>15</v>
      </c>
      <c r="J19" s="1499">
        <v>28</v>
      </c>
      <c r="K19" s="1496">
        <v>2</v>
      </c>
      <c r="L19" s="1500">
        <v>5</v>
      </c>
      <c r="M19" s="1503">
        <v>1026</v>
      </c>
      <c r="N19" s="1504">
        <v>1034</v>
      </c>
      <c r="O19" s="1501">
        <v>1006</v>
      </c>
      <c r="P19" s="1504">
        <v>1010</v>
      </c>
      <c r="Q19" s="1545"/>
    </row>
    <row r="20" spans="1:17" ht="16.5" customHeight="1">
      <c r="A20" s="2023"/>
      <c r="B20" s="1487" t="s">
        <v>1418</v>
      </c>
      <c r="C20" s="1488" t="s">
        <v>878</v>
      </c>
      <c r="D20" s="1488" t="s">
        <v>1421</v>
      </c>
      <c r="E20" s="1488" t="s">
        <v>1447</v>
      </c>
      <c r="F20" s="1488" t="s">
        <v>1443</v>
      </c>
      <c r="G20" s="1496">
        <v>4.4000000000000004</v>
      </c>
      <c r="H20" s="1497">
        <v>5.2</v>
      </c>
      <c r="I20" s="1498">
        <v>18</v>
      </c>
      <c r="J20" s="1499">
        <v>30</v>
      </c>
      <c r="K20" s="1496">
        <v>3.5</v>
      </c>
      <c r="L20" s="1500">
        <v>5</v>
      </c>
      <c r="M20" s="1494">
        <v>1044</v>
      </c>
      <c r="N20" s="1495">
        <v>1050</v>
      </c>
      <c r="O20" s="1487">
        <v>1007</v>
      </c>
      <c r="P20" s="1495">
        <v>1011</v>
      </c>
      <c r="Q20" s="1545"/>
    </row>
    <row r="21" spans="1:17" ht="16.5" customHeight="1">
      <c r="A21" s="2023"/>
      <c r="B21" s="1487" t="s">
        <v>1420</v>
      </c>
      <c r="C21" s="1488" t="s">
        <v>1448</v>
      </c>
      <c r="D21" s="1488" t="s">
        <v>1415</v>
      </c>
      <c r="E21" s="1488" t="s">
        <v>1442</v>
      </c>
      <c r="F21" s="1488" t="s">
        <v>1443</v>
      </c>
      <c r="G21" s="1496">
        <v>4.8</v>
      </c>
      <c r="H21" s="1497">
        <v>6</v>
      </c>
      <c r="I21" s="1498">
        <v>20</v>
      </c>
      <c r="J21" s="1499">
        <v>30</v>
      </c>
      <c r="K21" s="1496">
        <v>4</v>
      </c>
      <c r="L21" s="1500">
        <v>7</v>
      </c>
      <c r="M21" s="1494">
        <v>1048</v>
      </c>
      <c r="N21" s="1495">
        <v>1056</v>
      </c>
      <c r="O21" s="1487">
        <v>1010</v>
      </c>
      <c r="P21" s="1495">
        <v>1015</v>
      </c>
      <c r="Q21" s="1545"/>
    </row>
    <row r="22" spans="1:17" ht="16.5" customHeight="1">
      <c r="A22" s="2025"/>
      <c r="B22" s="1505" t="s">
        <v>1423</v>
      </c>
      <c r="C22" s="1506" t="s">
        <v>1449</v>
      </c>
      <c r="D22" s="1506" t="s">
        <v>1435</v>
      </c>
      <c r="E22" s="1506" t="s">
        <v>1435</v>
      </c>
      <c r="F22" s="1506" t="s">
        <v>1443</v>
      </c>
      <c r="G22" s="1496">
        <v>4.4000000000000004</v>
      </c>
      <c r="H22" s="1497">
        <v>5.2</v>
      </c>
      <c r="I22" s="1498">
        <v>22</v>
      </c>
      <c r="J22" s="1499">
        <v>40</v>
      </c>
      <c r="K22" s="1496">
        <v>2</v>
      </c>
      <c r="L22" s="1500">
        <v>5</v>
      </c>
      <c r="M22" s="1507">
        <v>1044</v>
      </c>
      <c r="N22" s="1508">
        <v>1050</v>
      </c>
      <c r="O22" s="1505">
        <v>1008</v>
      </c>
      <c r="P22" s="1508">
        <v>1013</v>
      </c>
      <c r="Q22" s="1545"/>
    </row>
    <row r="23" spans="1:17" ht="16.5" customHeight="1">
      <c r="A23" s="2023" t="s">
        <v>1450</v>
      </c>
      <c r="B23" s="1487" t="s">
        <v>1413</v>
      </c>
      <c r="C23" s="1488" t="s">
        <v>1451</v>
      </c>
      <c r="D23" s="1488" t="s">
        <v>1430</v>
      </c>
      <c r="E23" s="1488" t="s">
        <v>1430</v>
      </c>
      <c r="F23" s="1488" t="s">
        <v>1443</v>
      </c>
      <c r="G23" s="1496">
        <v>5.8</v>
      </c>
      <c r="H23" s="1497">
        <v>6.3</v>
      </c>
      <c r="I23" s="1498">
        <v>18</v>
      </c>
      <c r="J23" s="1499">
        <v>24</v>
      </c>
      <c r="K23" s="1496">
        <v>8</v>
      </c>
      <c r="L23" s="1500">
        <v>17</v>
      </c>
      <c r="M23" s="1494">
        <v>1054</v>
      </c>
      <c r="N23" s="1495">
        <v>1060</v>
      </c>
      <c r="O23" s="1487">
        <v>1010</v>
      </c>
      <c r="P23" s="1495">
        <v>1014</v>
      </c>
      <c r="Q23" s="1545"/>
    </row>
    <row r="24" spans="1:17" ht="16.5" customHeight="1">
      <c r="A24" s="2023"/>
      <c r="B24" s="1487" t="s">
        <v>1418</v>
      </c>
      <c r="C24" s="1488" t="s">
        <v>1452</v>
      </c>
      <c r="D24" s="1488" t="s">
        <v>1430</v>
      </c>
      <c r="E24" s="1488" t="s">
        <v>1453</v>
      </c>
      <c r="F24" s="1488" t="s">
        <v>1443</v>
      </c>
      <c r="G24" s="1496">
        <v>4.8</v>
      </c>
      <c r="H24" s="1497">
        <v>6</v>
      </c>
      <c r="I24" s="1498">
        <v>20</v>
      </c>
      <c r="J24" s="1499">
        <v>30</v>
      </c>
      <c r="K24" s="1496">
        <v>12</v>
      </c>
      <c r="L24" s="1500">
        <v>22</v>
      </c>
      <c r="M24" s="1494">
        <v>1050</v>
      </c>
      <c r="N24" s="1495">
        <v>1057</v>
      </c>
      <c r="O24" s="1487">
        <v>1012</v>
      </c>
      <c r="P24" s="1495">
        <v>1016</v>
      </c>
      <c r="Q24" s="1545"/>
    </row>
    <row r="25" spans="1:17" ht="16.5" customHeight="1">
      <c r="A25" s="2023"/>
      <c r="B25" s="1487" t="s">
        <v>1420</v>
      </c>
      <c r="C25" s="1488" t="s">
        <v>1454</v>
      </c>
      <c r="D25" s="1488" t="s">
        <v>848</v>
      </c>
      <c r="E25" s="1488" t="s">
        <v>848</v>
      </c>
      <c r="F25" s="1488" t="s">
        <v>1443</v>
      </c>
      <c r="G25" s="1496">
        <v>6.3</v>
      </c>
      <c r="H25" s="1497">
        <v>7.2</v>
      </c>
      <c r="I25" s="1498">
        <v>20</v>
      </c>
      <c r="J25" s="1499">
        <v>27</v>
      </c>
      <c r="K25" s="1496">
        <v>14</v>
      </c>
      <c r="L25" s="1500">
        <v>22</v>
      </c>
      <c r="M25" s="1494">
        <v>1064</v>
      </c>
      <c r="N25" s="1495">
        <v>1072</v>
      </c>
      <c r="O25" s="1487">
        <v>1013</v>
      </c>
      <c r="P25" s="1495">
        <v>1019</v>
      </c>
      <c r="Q25" s="1545"/>
    </row>
    <row r="26" spans="1:17" ht="16.5" customHeight="1">
      <c r="A26" s="2024" t="s">
        <v>1455</v>
      </c>
      <c r="B26" s="1501" t="s">
        <v>1413</v>
      </c>
      <c r="C26" s="1502" t="s">
        <v>1456</v>
      </c>
      <c r="D26" s="1502" t="s">
        <v>1430</v>
      </c>
      <c r="E26" s="1502" t="s">
        <v>1430</v>
      </c>
      <c r="F26" s="1502" t="s">
        <v>1267</v>
      </c>
      <c r="G26" s="1496">
        <v>4.7</v>
      </c>
      <c r="H26" s="1497">
        <v>5.5</v>
      </c>
      <c r="I26" s="1498">
        <v>18</v>
      </c>
      <c r="J26" s="1499">
        <v>30</v>
      </c>
      <c r="K26" s="1496">
        <v>9</v>
      </c>
      <c r="L26" s="1500">
        <v>15</v>
      </c>
      <c r="M26" s="1503">
        <v>1048</v>
      </c>
      <c r="N26" s="1504">
        <v>1055</v>
      </c>
      <c r="O26" s="1501">
        <v>1010</v>
      </c>
      <c r="P26" s="1504">
        <v>1014</v>
      </c>
      <c r="Q26" s="1545"/>
    </row>
    <row r="27" spans="1:17" ht="16.5" customHeight="1">
      <c r="A27" s="2023"/>
      <c r="B27" s="1487" t="s">
        <v>1418</v>
      </c>
      <c r="C27" s="1488" t="s">
        <v>1348</v>
      </c>
      <c r="D27" s="1488" t="s">
        <v>1457</v>
      </c>
      <c r="E27" s="1488" t="s">
        <v>1447</v>
      </c>
      <c r="F27" s="1488" t="s">
        <v>1443</v>
      </c>
      <c r="G27" s="1496">
        <v>4.3</v>
      </c>
      <c r="H27" s="1497">
        <v>5.5</v>
      </c>
      <c r="I27" s="1498">
        <v>25</v>
      </c>
      <c r="J27" s="1499">
        <v>50</v>
      </c>
      <c r="K27" s="1496">
        <v>11</v>
      </c>
      <c r="L27" s="1500">
        <v>17</v>
      </c>
      <c r="M27" s="1494">
        <v>1044</v>
      </c>
      <c r="N27" s="1495">
        <v>1052</v>
      </c>
      <c r="O27" s="1487">
        <v>1008</v>
      </c>
      <c r="P27" s="1495">
        <v>1014</v>
      </c>
      <c r="Q27" s="1545"/>
    </row>
    <row r="28" spans="1:17" ht="16.5" customHeight="1">
      <c r="A28" s="2023"/>
      <c r="B28" s="1487" t="s">
        <v>1420</v>
      </c>
      <c r="C28" s="1488" t="s">
        <v>1458</v>
      </c>
      <c r="D28" s="1488" t="s">
        <v>1415</v>
      </c>
      <c r="E28" s="1488" t="s">
        <v>1435</v>
      </c>
      <c r="F28" s="1488" t="s">
        <v>1443</v>
      </c>
      <c r="G28" s="1496">
        <v>4.7</v>
      </c>
      <c r="H28" s="1497">
        <v>5.4</v>
      </c>
      <c r="I28" s="1498">
        <v>20</v>
      </c>
      <c r="J28" s="1499">
        <v>35</v>
      </c>
      <c r="K28" s="1496">
        <v>3</v>
      </c>
      <c r="L28" s="1500">
        <v>7</v>
      </c>
      <c r="M28" s="1494">
        <v>1045</v>
      </c>
      <c r="N28" s="1513">
        <v>1051</v>
      </c>
      <c r="O28" s="1514">
        <v>1008</v>
      </c>
      <c r="P28" s="1495">
        <v>1012</v>
      </c>
      <c r="Q28" s="1545"/>
    </row>
    <row r="29" spans="1:17" ht="16.5" customHeight="1">
      <c r="A29" s="2025"/>
      <c r="B29" s="1505" t="s">
        <v>1420</v>
      </c>
      <c r="C29" s="1506" t="s">
        <v>1459</v>
      </c>
      <c r="D29" s="1506" t="s">
        <v>1430</v>
      </c>
      <c r="E29" s="1506" t="s">
        <v>1430</v>
      </c>
      <c r="F29" s="1506" t="s">
        <v>1443</v>
      </c>
      <c r="G29" s="1496">
        <v>4.8</v>
      </c>
      <c r="H29" s="1497">
        <v>5.4</v>
      </c>
      <c r="I29" s="1498">
        <v>25</v>
      </c>
      <c r="J29" s="1499">
        <v>40</v>
      </c>
      <c r="K29" s="1496">
        <v>7</v>
      </c>
      <c r="L29" s="1500">
        <v>17</v>
      </c>
      <c r="M29" s="1507">
        <v>1048</v>
      </c>
      <c r="N29" s="1515">
        <v>1054</v>
      </c>
      <c r="O29" s="1516">
        <v>1012</v>
      </c>
      <c r="P29" s="1508">
        <v>1016</v>
      </c>
      <c r="Q29" s="1545"/>
    </row>
    <row r="30" spans="1:17" ht="16.5" customHeight="1">
      <c r="A30" s="2023" t="s">
        <v>1460</v>
      </c>
      <c r="B30" s="1487" t="s">
        <v>1413</v>
      </c>
      <c r="C30" s="1488" t="s">
        <v>886</v>
      </c>
      <c r="D30" s="1488" t="s">
        <v>1432</v>
      </c>
      <c r="E30" s="1488" t="s">
        <v>1432</v>
      </c>
      <c r="F30" s="1488" t="s">
        <v>1443</v>
      </c>
      <c r="G30" s="1496">
        <v>4.5</v>
      </c>
      <c r="H30" s="1497">
        <v>5.6</v>
      </c>
      <c r="I30" s="1498">
        <v>18</v>
      </c>
      <c r="J30" s="1499">
        <v>28</v>
      </c>
      <c r="K30" s="1496">
        <v>14</v>
      </c>
      <c r="L30" s="1500">
        <v>28</v>
      </c>
      <c r="M30" s="1494">
        <v>1048</v>
      </c>
      <c r="N30" s="1513">
        <v>1056</v>
      </c>
      <c r="O30" s="1514">
        <v>1010</v>
      </c>
      <c r="P30" s="1495">
        <v>1016</v>
      </c>
      <c r="Q30" s="1545"/>
    </row>
    <row r="31" spans="1:17" ht="16.5" customHeight="1">
      <c r="A31" s="2023"/>
      <c r="B31" s="1487" t="s">
        <v>1418</v>
      </c>
      <c r="C31" s="1488" t="s">
        <v>890</v>
      </c>
      <c r="D31" s="1488" t="s">
        <v>1432</v>
      </c>
      <c r="E31" s="1488" t="s">
        <v>1432</v>
      </c>
      <c r="F31" s="1488" t="s">
        <v>1443</v>
      </c>
      <c r="G31" s="1496">
        <v>4.4000000000000004</v>
      </c>
      <c r="H31" s="1497">
        <v>5.4</v>
      </c>
      <c r="I31" s="1498">
        <v>20</v>
      </c>
      <c r="J31" s="1499">
        <v>30</v>
      </c>
      <c r="K31" s="1496">
        <v>17</v>
      </c>
      <c r="L31" s="1500">
        <v>30</v>
      </c>
      <c r="M31" s="1494">
        <v>1046</v>
      </c>
      <c r="N31" s="1495">
        <v>1052</v>
      </c>
      <c r="O31" s="1487">
        <v>1010</v>
      </c>
      <c r="P31" s="1495">
        <v>1016</v>
      </c>
      <c r="Q31" s="1545"/>
    </row>
    <row r="32" spans="1:17" ht="16.5" customHeight="1">
      <c r="A32" s="2024" t="s">
        <v>1461</v>
      </c>
      <c r="B32" s="1501" t="s">
        <v>1413</v>
      </c>
      <c r="C32" s="1502" t="s">
        <v>1462</v>
      </c>
      <c r="D32" s="1502" t="s">
        <v>848</v>
      </c>
      <c r="E32" s="1502" t="s">
        <v>848</v>
      </c>
      <c r="F32" s="1502" t="s">
        <v>1443</v>
      </c>
      <c r="G32" s="1496">
        <v>7</v>
      </c>
      <c r="H32" s="1497">
        <v>10</v>
      </c>
      <c r="I32" s="1498">
        <v>16</v>
      </c>
      <c r="J32" s="1499">
        <v>26</v>
      </c>
      <c r="K32" s="1496">
        <v>6</v>
      </c>
      <c r="L32" s="1500">
        <v>25</v>
      </c>
      <c r="M32" s="1503">
        <v>1072</v>
      </c>
      <c r="N32" s="1504">
        <v>1112</v>
      </c>
      <c r="O32" s="1501">
        <v>1016</v>
      </c>
      <c r="P32" s="1504">
        <v>1024</v>
      </c>
      <c r="Q32" s="1545"/>
    </row>
    <row r="33" spans="1:17" ht="16.5" customHeight="1">
      <c r="A33" s="2023"/>
      <c r="B33" s="1487" t="s">
        <v>1418</v>
      </c>
      <c r="C33" s="1488" t="s">
        <v>857</v>
      </c>
      <c r="D33" s="1488" t="s">
        <v>848</v>
      </c>
      <c r="E33" s="1488" t="s">
        <v>848</v>
      </c>
      <c r="F33" s="1488" t="s">
        <v>1443</v>
      </c>
      <c r="G33" s="1496">
        <v>9</v>
      </c>
      <c r="H33" s="1497">
        <v>14</v>
      </c>
      <c r="I33" s="1498">
        <v>25</v>
      </c>
      <c r="J33" s="1499">
        <v>35</v>
      </c>
      <c r="K33" s="1496">
        <v>18</v>
      </c>
      <c r="L33" s="1500">
        <v>30</v>
      </c>
      <c r="M33" s="1494">
        <v>1078</v>
      </c>
      <c r="N33" s="1495">
        <v>1120</v>
      </c>
      <c r="O33" s="1487">
        <v>1020</v>
      </c>
      <c r="P33" s="1495">
        <v>1035</v>
      </c>
      <c r="Q33" s="1545"/>
    </row>
    <row r="34" spans="1:17" ht="16.5" customHeight="1">
      <c r="A34" s="2025"/>
      <c r="B34" s="1505" t="s">
        <v>1420</v>
      </c>
      <c r="C34" s="1506" t="s">
        <v>1463</v>
      </c>
      <c r="D34" s="1506" t="s">
        <v>889</v>
      </c>
      <c r="E34" s="1506" t="s">
        <v>889</v>
      </c>
      <c r="F34" s="1506" t="s">
        <v>1464</v>
      </c>
      <c r="G34" s="1496">
        <v>6.5</v>
      </c>
      <c r="H34" s="1497">
        <v>9.5</v>
      </c>
      <c r="I34" s="1498">
        <v>20</v>
      </c>
      <c r="J34" s="1499">
        <v>40</v>
      </c>
      <c r="K34" s="1496">
        <v>17</v>
      </c>
      <c r="L34" s="1500">
        <v>30</v>
      </c>
      <c r="M34" s="1507">
        <v>1060</v>
      </c>
      <c r="N34" s="1508">
        <v>1090</v>
      </c>
      <c r="O34" s="1505">
        <v>1016</v>
      </c>
      <c r="P34" s="1508">
        <v>1024</v>
      </c>
      <c r="Q34" s="1545"/>
    </row>
    <row r="35" spans="1:17" ht="16.5" customHeight="1">
      <c r="A35" s="2023" t="s">
        <v>1465</v>
      </c>
      <c r="B35" s="1487" t="s">
        <v>1413</v>
      </c>
      <c r="C35" s="1488" t="s">
        <v>1466</v>
      </c>
      <c r="D35" s="1488" t="s">
        <v>1425</v>
      </c>
      <c r="E35" s="1488" t="s">
        <v>1425</v>
      </c>
      <c r="F35" s="1488" t="s">
        <v>1443</v>
      </c>
      <c r="G35" s="1496">
        <v>4.3</v>
      </c>
      <c r="H35" s="1497">
        <v>5.6</v>
      </c>
      <c r="I35" s="1498">
        <v>8</v>
      </c>
      <c r="J35" s="1499">
        <v>15</v>
      </c>
      <c r="K35" s="1496">
        <v>2</v>
      </c>
      <c r="L35" s="1500">
        <v>6</v>
      </c>
      <c r="M35" s="1494">
        <v>1044</v>
      </c>
      <c r="N35" s="1495">
        <v>1052</v>
      </c>
      <c r="O35" s="1487">
        <v>1010</v>
      </c>
      <c r="P35" s="1495">
        <v>1014</v>
      </c>
      <c r="Q35" s="1545"/>
    </row>
    <row r="36" spans="1:17" ht="16.5" customHeight="1">
      <c r="A36" s="2023"/>
      <c r="B36" s="1487" t="s">
        <v>1418</v>
      </c>
      <c r="C36" s="1488" t="s">
        <v>1467</v>
      </c>
      <c r="D36" s="1488" t="s">
        <v>1425</v>
      </c>
      <c r="E36" s="1488" t="s">
        <v>1425</v>
      </c>
      <c r="F36" s="1488" t="s">
        <v>1443</v>
      </c>
      <c r="G36" s="1496">
        <v>4.3</v>
      </c>
      <c r="H36" s="1497">
        <v>5.6</v>
      </c>
      <c r="I36" s="1498">
        <v>10</v>
      </c>
      <c r="J36" s="1499">
        <v>18</v>
      </c>
      <c r="K36" s="1496">
        <v>14</v>
      </c>
      <c r="L36" s="1500">
        <v>23</v>
      </c>
      <c r="M36" s="1494">
        <v>1044</v>
      </c>
      <c r="N36" s="1495">
        <v>1056</v>
      </c>
      <c r="O36" s="1487">
        <v>1010</v>
      </c>
      <c r="P36" s="1495">
        <v>1014</v>
      </c>
      <c r="Q36" s="1545"/>
    </row>
    <row r="37" spans="1:17" ht="16.5" customHeight="1">
      <c r="A37" s="2023"/>
      <c r="B37" s="1487" t="s">
        <v>1420</v>
      </c>
      <c r="C37" s="1488" t="s">
        <v>1468</v>
      </c>
      <c r="D37" s="1488" t="s">
        <v>1425</v>
      </c>
      <c r="E37" s="1488" t="s">
        <v>1425</v>
      </c>
      <c r="F37" s="1488" t="s">
        <v>1443</v>
      </c>
      <c r="G37" s="1496">
        <v>6.5</v>
      </c>
      <c r="H37" s="1497">
        <v>9</v>
      </c>
      <c r="I37" s="1498">
        <v>15</v>
      </c>
      <c r="J37" s="1499">
        <v>30</v>
      </c>
      <c r="K37" s="1496">
        <v>6</v>
      </c>
      <c r="L37" s="1500">
        <v>25</v>
      </c>
      <c r="M37" s="1494">
        <v>1064</v>
      </c>
      <c r="N37" s="1495">
        <v>1090</v>
      </c>
      <c r="O37" s="1487">
        <v>1015</v>
      </c>
      <c r="P37" s="1495">
        <v>1022</v>
      </c>
      <c r="Q37" s="1545"/>
    </row>
    <row r="38" spans="1:17" ht="16.5" customHeight="1">
      <c r="A38" s="2024" t="s">
        <v>1469</v>
      </c>
      <c r="B38" s="1501" t="s">
        <v>1413</v>
      </c>
      <c r="C38" s="1502" t="s">
        <v>1470</v>
      </c>
      <c r="D38" s="1502" t="s">
        <v>1457</v>
      </c>
      <c r="E38" s="1502" t="s">
        <v>864</v>
      </c>
      <c r="F38" s="1502" t="s">
        <v>1471</v>
      </c>
      <c r="G38" s="1496">
        <v>3.2</v>
      </c>
      <c r="H38" s="1497">
        <v>3.8</v>
      </c>
      <c r="I38" s="1498">
        <v>25</v>
      </c>
      <c r="J38" s="1499">
        <v>35</v>
      </c>
      <c r="K38" s="1496">
        <v>8</v>
      </c>
      <c r="L38" s="1500">
        <v>14</v>
      </c>
      <c r="M38" s="1503">
        <v>1030</v>
      </c>
      <c r="N38" s="1504">
        <v>1039</v>
      </c>
      <c r="O38" s="1501">
        <v>1007</v>
      </c>
      <c r="P38" s="1504">
        <v>1011</v>
      </c>
      <c r="Q38" s="1545"/>
    </row>
    <row r="39" spans="1:17" ht="16.5" customHeight="1">
      <c r="A39" s="2023"/>
      <c r="B39" s="1487" t="s">
        <v>1418</v>
      </c>
      <c r="C39" s="1488" t="s">
        <v>1472</v>
      </c>
      <c r="D39" s="1488" t="s">
        <v>1457</v>
      </c>
      <c r="E39" s="1488" t="s">
        <v>864</v>
      </c>
      <c r="F39" s="1488" t="s">
        <v>1471</v>
      </c>
      <c r="G39" s="1496">
        <v>3.8</v>
      </c>
      <c r="H39" s="1497">
        <v>4.5999999999999996</v>
      </c>
      <c r="I39" s="1498">
        <v>25</v>
      </c>
      <c r="J39" s="1499">
        <v>40</v>
      </c>
      <c r="K39" s="1496">
        <v>8</v>
      </c>
      <c r="L39" s="1500">
        <v>16</v>
      </c>
      <c r="M39" s="1494">
        <v>1040</v>
      </c>
      <c r="N39" s="1495">
        <v>1048</v>
      </c>
      <c r="O39" s="1487">
        <v>1008</v>
      </c>
      <c r="P39" s="1495">
        <v>1012</v>
      </c>
      <c r="Q39" s="1545"/>
    </row>
    <row r="40" spans="1:17" ht="16.5" customHeight="1">
      <c r="A40" s="2025"/>
      <c r="B40" s="1505" t="s">
        <v>1420</v>
      </c>
      <c r="C40" s="1506" t="s">
        <v>1473</v>
      </c>
      <c r="D40" s="1506" t="s">
        <v>1457</v>
      </c>
      <c r="E40" s="1506" t="s">
        <v>864</v>
      </c>
      <c r="F40" s="1506" t="s">
        <v>1471</v>
      </c>
      <c r="G40" s="1496">
        <v>4.5999999999999996</v>
      </c>
      <c r="H40" s="1497">
        <v>6.2</v>
      </c>
      <c r="I40" s="1498">
        <v>30</v>
      </c>
      <c r="J40" s="1499">
        <v>50</v>
      </c>
      <c r="K40" s="1496">
        <v>8</v>
      </c>
      <c r="L40" s="1500">
        <v>18</v>
      </c>
      <c r="M40" s="1507">
        <v>1048</v>
      </c>
      <c r="N40" s="1508">
        <v>1060</v>
      </c>
      <c r="O40" s="1505">
        <v>1010</v>
      </c>
      <c r="P40" s="1508">
        <v>1016</v>
      </c>
      <c r="Q40" s="1545"/>
    </row>
    <row r="41" spans="1:17" ht="16.5" customHeight="1">
      <c r="A41" s="2023" t="s">
        <v>1474</v>
      </c>
      <c r="B41" s="1487" t="s">
        <v>1413</v>
      </c>
      <c r="C41" s="1488" t="s">
        <v>1475</v>
      </c>
      <c r="D41" s="1488" t="s">
        <v>1421</v>
      </c>
      <c r="E41" s="1488" t="s">
        <v>1476</v>
      </c>
      <c r="F41" s="1488" t="s">
        <v>1471</v>
      </c>
      <c r="G41" s="1496">
        <v>3.8</v>
      </c>
      <c r="H41" s="1497">
        <v>5</v>
      </c>
      <c r="I41" s="1498">
        <v>20</v>
      </c>
      <c r="J41" s="1499">
        <v>45</v>
      </c>
      <c r="K41" s="1496">
        <v>2</v>
      </c>
      <c r="L41" s="1500">
        <v>6</v>
      </c>
      <c r="M41" s="1494">
        <v>1038</v>
      </c>
      <c r="N41" s="1495">
        <v>1053</v>
      </c>
      <c r="O41" s="1487">
        <v>1006</v>
      </c>
      <c r="P41" s="1495">
        <v>1012</v>
      </c>
      <c r="Q41" s="1545"/>
    </row>
    <row r="42" spans="1:17" ht="16.5" customHeight="1">
      <c r="A42" s="2023"/>
      <c r="B42" s="1487" t="s">
        <v>1418</v>
      </c>
      <c r="C42" s="1488" t="s">
        <v>1477</v>
      </c>
      <c r="D42" s="1488" t="s">
        <v>1421</v>
      </c>
      <c r="E42" s="1488" t="s">
        <v>1476</v>
      </c>
      <c r="F42" s="1488" t="s">
        <v>1478</v>
      </c>
      <c r="G42" s="1496">
        <v>4.5</v>
      </c>
      <c r="H42" s="1497">
        <v>6</v>
      </c>
      <c r="I42" s="1498">
        <v>20</v>
      </c>
      <c r="J42" s="1499">
        <v>35</v>
      </c>
      <c r="K42" s="1496">
        <v>4</v>
      </c>
      <c r="L42" s="1500">
        <v>7</v>
      </c>
      <c r="M42" s="1494">
        <v>1038</v>
      </c>
      <c r="N42" s="1495">
        <v>1050</v>
      </c>
      <c r="O42" s="1487">
        <v>1004</v>
      </c>
      <c r="P42" s="1495">
        <v>1006</v>
      </c>
      <c r="Q42" s="1545"/>
    </row>
    <row r="43" spans="1:17" ht="16.5" customHeight="1">
      <c r="A43" s="2023"/>
      <c r="B43" s="1487" t="s">
        <v>1420</v>
      </c>
      <c r="C43" s="1488" t="s">
        <v>1479</v>
      </c>
      <c r="D43" s="1488" t="s">
        <v>1480</v>
      </c>
      <c r="E43" s="1488" t="s">
        <v>864</v>
      </c>
      <c r="F43" s="1488" t="s">
        <v>1471</v>
      </c>
      <c r="G43" s="1496">
        <v>5</v>
      </c>
      <c r="H43" s="1497">
        <v>7.5</v>
      </c>
      <c r="I43" s="1498">
        <v>40</v>
      </c>
      <c r="J43" s="1499">
        <v>60</v>
      </c>
      <c r="K43" s="1496">
        <v>6</v>
      </c>
      <c r="L43" s="1500">
        <v>14</v>
      </c>
      <c r="M43" s="1494">
        <v>1050</v>
      </c>
      <c r="N43" s="1495">
        <v>1075</v>
      </c>
      <c r="O43" s="1487">
        <v>1010</v>
      </c>
      <c r="P43" s="1495">
        <v>1018</v>
      </c>
      <c r="Q43" s="1545"/>
    </row>
    <row r="44" spans="1:17" ht="16.5" customHeight="1">
      <c r="A44" s="2024" t="s">
        <v>1481</v>
      </c>
      <c r="B44" s="1501" t="s">
        <v>1413</v>
      </c>
      <c r="C44" s="1502" t="s">
        <v>1482</v>
      </c>
      <c r="D44" s="1502" t="s">
        <v>1483</v>
      </c>
      <c r="E44" s="1502" t="s">
        <v>860</v>
      </c>
      <c r="F44" s="1502" t="s">
        <v>1471</v>
      </c>
      <c r="G44" s="1496">
        <v>3</v>
      </c>
      <c r="H44" s="1497">
        <v>3.8</v>
      </c>
      <c r="I44" s="1498">
        <v>10</v>
      </c>
      <c r="J44" s="1499">
        <v>25</v>
      </c>
      <c r="K44" s="1496">
        <v>12</v>
      </c>
      <c r="L44" s="1500">
        <v>25</v>
      </c>
      <c r="M44" s="1503">
        <v>1030</v>
      </c>
      <c r="N44" s="1504">
        <v>1038</v>
      </c>
      <c r="O44" s="1501">
        <v>1008</v>
      </c>
      <c r="P44" s="1504">
        <v>1013</v>
      </c>
      <c r="Q44" s="1545"/>
    </row>
    <row r="45" spans="1:17" ht="16.5" customHeight="1">
      <c r="A45" s="2023"/>
      <c r="B45" s="1487" t="s">
        <v>1418</v>
      </c>
      <c r="C45" s="1488" t="s">
        <v>1484</v>
      </c>
      <c r="D45" s="1488" t="s">
        <v>1483</v>
      </c>
      <c r="E45" s="1488"/>
      <c r="F45" s="1488" t="s">
        <v>1471</v>
      </c>
      <c r="G45" s="1496">
        <v>4.2</v>
      </c>
      <c r="H45" s="1497">
        <v>5.4</v>
      </c>
      <c r="I45" s="1498">
        <v>20</v>
      </c>
      <c r="J45" s="1499">
        <v>30</v>
      </c>
      <c r="K45" s="1496">
        <v>12</v>
      </c>
      <c r="L45" s="1500">
        <v>22</v>
      </c>
      <c r="M45" s="1494">
        <v>1040</v>
      </c>
      <c r="N45" s="1495">
        <v>1052</v>
      </c>
      <c r="O45" s="1487">
        <v>1008</v>
      </c>
      <c r="P45" s="1495">
        <v>1013</v>
      </c>
      <c r="Q45" s="1545"/>
    </row>
    <row r="46" spans="1:17" ht="16.5" customHeight="1">
      <c r="A46" s="2025"/>
      <c r="B46" s="1505" t="s">
        <v>1420</v>
      </c>
      <c r="C46" s="1506" t="s">
        <v>1485</v>
      </c>
      <c r="D46" s="1506" t="s">
        <v>889</v>
      </c>
      <c r="E46" s="1506" t="s">
        <v>889</v>
      </c>
      <c r="F46" s="1506" t="s">
        <v>1471</v>
      </c>
      <c r="G46" s="1517">
        <v>4</v>
      </c>
      <c r="H46" s="1518">
        <v>5.4</v>
      </c>
      <c r="I46" s="1519">
        <v>18</v>
      </c>
      <c r="J46" s="1520">
        <v>35</v>
      </c>
      <c r="K46" s="1517">
        <v>20</v>
      </c>
      <c r="L46" s="1521">
        <v>30</v>
      </c>
      <c r="M46" s="1494">
        <v>1040</v>
      </c>
      <c r="N46" s="1508">
        <v>1052</v>
      </c>
      <c r="O46" s="1505">
        <v>1008</v>
      </c>
      <c r="P46" s="1508">
        <v>1014</v>
      </c>
      <c r="Q46" s="1545"/>
    </row>
    <row r="47" spans="1:17" ht="16.5" customHeight="1">
      <c r="A47" s="2023" t="s">
        <v>1486</v>
      </c>
      <c r="B47" s="1487" t="s">
        <v>1413</v>
      </c>
      <c r="C47" s="1488" t="s">
        <v>1487</v>
      </c>
      <c r="D47" s="1488" t="s">
        <v>1457</v>
      </c>
      <c r="E47" s="1488"/>
      <c r="F47" s="1488" t="s">
        <v>1488</v>
      </c>
      <c r="G47" s="1522">
        <v>2.5</v>
      </c>
      <c r="H47" s="1523">
        <v>3.2</v>
      </c>
      <c r="I47" s="1524">
        <v>10</v>
      </c>
      <c r="J47" s="1525">
        <v>20</v>
      </c>
      <c r="K47" s="1522">
        <v>17</v>
      </c>
      <c r="L47" s="1526">
        <v>22</v>
      </c>
      <c r="M47" s="1503">
        <v>1030</v>
      </c>
      <c r="N47" s="1495">
        <v>1035</v>
      </c>
      <c r="O47" s="1487">
        <v>1010</v>
      </c>
      <c r="P47" s="1495">
        <v>1013</v>
      </c>
      <c r="Q47" s="1545"/>
    </row>
    <row r="48" spans="1:17" ht="16.5" customHeight="1">
      <c r="A48" s="2023"/>
      <c r="B48" s="1487" t="s">
        <v>1418</v>
      </c>
      <c r="C48" s="1488" t="s">
        <v>1489</v>
      </c>
      <c r="D48" s="1488" t="s">
        <v>1457</v>
      </c>
      <c r="E48" s="1488"/>
      <c r="F48" s="1488" t="s">
        <v>1488</v>
      </c>
      <c r="G48" s="1496">
        <v>3.2</v>
      </c>
      <c r="H48" s="1497">
        <v>3.9</v>
      </c>
      <c r="I48" s="1498">
        <v>10</v>
      </c>
      <c r="J48" s="1499">
        <v>20</v>
      </c>
      <c r="K48" s="1496">
        <v>13</v>
      </c>
      <c r="L48" s="1500">
        <v>22</v>
      </c>
      <c r="M48" s="1494">
        <v>1035</v>
      </c>
      <c r="N48" s="1495">
        <v>1040</v>
      </c>
      <c r="O48" s="1487">
        <v>1010</v>
      </c>
      <c r="P48" s="1495">
        <v>1015</v>
      </c>
      <c r="Q48" s="1545"/>
    </row>
    <row r="49" spans="1:17" ht="16.5" customHeight="1">
      <c r="A49" s="2023"/>
      <c r="B49" s="1487" t="s">
        <v>1420</v>
      </c>
      <c r="C49" s="1488" t="s">
        <v>1490</v>
      </c>
      <c r="D49" s="1488" t="s">
        <v>1457</v>
      </c>
      <c r="E49" s="1488"/>
      <c r="F49" s="1488" t="s">
        <v>1488</v>
      </c>
      <c r="G49" s="1527">
        <v>3.9</v>
      </c>
      <c r="H49" s="1528">
        <v>6</v>
      </c>
      <c r="I49" s="1529">
        <v>15</v>
      </c>
      <c r="J49" s="1530">
        <v>30</v>
      </c>
      <c r="K49" s="1527">
        <v>13</v>
      </c>
      <c r="L49" s="1531">
        <v>22</v>
      </c>
      <c r="M49" s="1507">
        <v>1040</v>
      </c>
      <c r="N49" s="1495">
        <v>1060</v>
      </c>
      <c r="O49" s="1487">
        <v>1010</v>
      </c>
      <c r="P49" s="1495">
        <v>1016</v>
      </c>
      <c r="Q49" s="1545"/>
    </row>
    <row r="50" spans="1:17" ht="16.5" customHeight="1">
      <c r="A50" s="2024" t="s">
        <v>1491</v>
      </c>
      <c r="B50" s="1501" t="s">
        <v>1413</v>
      </c>
      <c r="C50" s="1502" t="s">
        <v>1368</v>
      </c>
      <c r="D50" s="1502" t="s">
        <v>1457</v>
      </c>
      <c r="E50" s="1502" t="s">
        <v>1476</v>
      </c>
      <c r="F50" s="1502" t="s">
        <v>1492</v>
      </c>
      <c r="G50" s="1532">
        <v>3.8</v>
      </c>
      <c r="H50" s="1533">
        <v>5</v>
      </c>
      <c r="I50" s="1534">
        <v>18</v>
      </c>
      <c r="J50" s="1535">
        <v>28</v>
      </c>
      <c r="K50" s="1532">
        <v>9</v>
      </c>
      <c r="L50" s="1536">
        <v>14</v>
      </c>
      <c r="M50" s="1494">
        <v>1036</v>
      </c>
      <c r="N50" s="1504">
        <v>1046</v>
      </c>
      <c r="O50" s="1501">
        <v>1010</v>
      </c>
      <c r="P50" s="1504">
        <v>1014</v>
      </c>
      <c r="Q50" s="1545"/>
    </row>
    <row r="51" spans="1:17" ht="16.5" customHeight="1">
      <c r="A51" s="2023"/>
      <c r="B51" s="1487" t="s">
        <v>1418</v>
      </c>
      <c r="C51" s="1488" t="s">
        <v>1493</v>
      </c>
      <c r="D51" s="1488" t="s">
        <v>1494</v>
      </c>
      <c r="E51" s="1488" t="s">
        <v>1493</v>
      </c>
      <c r="F51" s="1488" t="s">
        <v>1492</v>
      </c>
      <c r="G51" s="1496">
        <v>4</v>
      </c>
      <c r="H51" s="1497">
        <v>4.5</v>
      </c>
      <c r="I51" s="1498">
        <v>25</v>
      </c>
      <c r="J51" s="1499">
        <v>45</v>
      </c>
      <c r="K51" s="1496">
        <v>25</v>
      </c>
      <c r="L51" s="1500">
        <v>40</v>
      </c>
      <c r="M51" s="1494">
        <v>1036</v>
      </c>
      <c r="N51" s="1495">
        <v>1044</v>
      </c>
      <c r="O51" s="1487">
        <v>1007</v>
      </c>
      <c r="P51" s="1495">
        <v>1011</v>
      </c>
      <c r="Q51" s="1545"/>
    </row>
    <row r="52" spans="1:17" ht="16.5" customHeight="1">
      <c r="A52" s="2025"/>
      <c r="B52" s="1505" t="s">
        <v>1420</v>
      </c>
      <c r="C52" s="1506" t="s">
        <v>1495</v>
      </c>
      <c r="D52" s="1506" t="s">
        <v>1494</v>
      </c>
      <c r="E52" s="1506" t="s">
        <v>1493</v>
      </c>
      <c r="F52" s="1488" t="s">
        <v>1492</v>
      </c>
      <c r="G52" s="1517">
        <v>5.5</v>
      </c>
      <c r="H52" s="1518">
        <v>6.5</v>
      </c>
      <c r="I52" s="1519">
        <v>35</v>
      </c>
      <c r="J52" s="1520">
        <v>50</v>
      </c>
      <c r="K52" s="1517">
        <v>25</v>
      </c>
      <c r="L52" s="1521">
        <v>40</v>
      </c>
      <c r="M52" s="1494">
        <v>1052</v>
      </c>
      <c r="N52" s="1508">
        <v>1062</v>
      </c>
      <c r="O52" s="1505">
        <v>1010</v>
      </c>
      <c r="P52" s="1508">
        <v>1014</v>
      </c>
      <c r="Q52" s="1545"/>
    </row>
    <row r="53" spans="1:17" ht="16.5" customHeight="1">
      <c r="A53" s="2023" t="s">
        <v>1496</v>
      </c>
      <c r="B53" s="1487" t="s">
        <v>1413</v>
      </c>
      <c r="C53" s="1488" t="s">
        <v>1497</v>
      </c>
      <c r="D53" s="1488" t="s">
        <v>1494</v>
      </c>
      <c r="E53" s="1488" t="s">
        <v>1498</v>
      </c>
      <c r="F53" s="1502" t="s">
        <v>1471</v>
      </c>
      <c r="G53" s="1522">
        <v>4</v>
      </c>
      <c r="H53" s="1523">
        <v>6</v>
      </c>
      <c r="I53" s="1524">
        <v>20</v>
      </c>
      <c r="J53" s="1525">
        <v>40</v>
      </c>
      <c r="K53" s="1522">
        <v>30</v>
      </c>
      <c r="L53" s="1526">
        <v>40</v>
      </c>
      <c r="M53" s="1503">
        <v>1044</v>
      </c>
      <c r="N53" s="1495">
        <v>1060</v>
      </c>
      <c r="O53" s="1487">
        <v>1012</v>
      </c>
      <c r="P53" s="1495">
        <v>1024</v>
      </c>
      <c r="Q53" s="1545"/>
    </row>
    <row r="54" spans="1:17" ht="16.5" customHeight="1">
      <c r="A54" s="2023"/>
      <c r="B54" s="1487" t="s">
        <v>1418</v>
      </c>
      <c r="C54" s="1488" t="s">
        <v>1499</v>
      </c>
      <c r="D54" s="1488" t="s">
        <v>1494</v>
      </c>
      <c r="E54" s="1488" t="s">
        <v>1498</v>
      </c>
      <c r="F54" s="1488" t="s">
        <v>1471</v>
      </c>
      <c r="G54" s="1496">
        <v>4.2</v>
      </c>
      <c r="H54" s="1497">
        <v>5.9</v>
      </c>
      <c r="I54" s="1498">
        <v>25</v>
      </c>
      <c r="J54" s="1499">
        <v>40</v>
      </c>
      <c r="K54" s="1496">
        <v>22</v>
      </c>
      <c r="L54" s="1500">
        <v>40</v>
      </c>
      <c r="M54" s="1494">
        <v>1045</v>
      </c>
      <c r="N54" s="1495">
        <v>1065</v>
      </c>
      <c r="O54" s="1487">
        <v>1010</v>
      </c>
      <c r="P54" s="1495">
        <v>1018</v>
      </c>
      <c r="Q54" s="1545"/>
    </row>
    <row r="55" spans="1:17" ht="16.5" customHeight="1">
      <c r="A55" s="2023"/>
      <c r="B55" s="1487" t="s">
        <v>1420</v>
      </c>
      <c r="C55" s="1488" t="s">
        <v>1500</v>
      </c>
      <c r="D55" s="1488" t="s">
        <v>1494</v>
      </c>
      <c r="E55" s="1488" t="s">
        <v>1498</v>
      </c>
      <c r="F55" s="1488" t="s">
        <v>1471</v>
      </c>
      <c r="G55" s="1496">
        <v>5.5</v>
      </c>
      <c r="H55" s="1497">
        <v>8</v>
      </c>
      <c r="I55" s="1498">
        <v>30</v>
      </c>
      <c r="J55" s="1499">
        <v>50</v>
      </c>
      <c r="K55" s="1496">
        <v>30</v>
      </c>
      <c r="L55" s="1500">
        <v>40</v>
      </c>
      <c r="M55" s="1494">
        <v>1056</v>
      </c>
      <c r="N55" s="1495">
        <v>1075</v>
      </c>
      <c r="O55" s="1487">
        <v>1010</v>
      </c>
      <c r="P55" s="1495">
        <v>1018</v>
      </c>
      <c r="Q55" s="1545"/>
    </row>
    <row r="56" spans="1:17" ht="16.5" customHeight="1">
      <c r="A56" s="2023"/>
      <c r="B56" s="1487" t="s">
        <v>1423</v>
      </c>
      <c r="C56" s="1488" t="s">
        <v>1501</v>
      </c>
      <c r="D56" s="1488" t="s">
        <v>1494</v>
      </c>
      <c r="E56" s="1488" t="s">
        <v>1493</v>
      </c>
      <c r="F56" s="1506" t="s">
        <v>1471</v>
      </c>
      <c r="G56" s="1527">
        <v>6.3</v>
      </c>
      <c r="H56" s="1528">
        <v>8</v>
      </c>
      <c r="I56" s="1529">
        <v>50</v>
      </c>
      <c r="J56" s="1530">
        <v>70</v>
      </c>
      <c r="K56" s="1527">
        <v>30</v>
      </c>
      <c r="L56" s="1531">
        <v>40</v>
      </c>
      <c r="M56" s="1507">
        <v>1056</v>
      </c>
      <c r="N56" s="1495">
        <v>1075</v>
      </c>
      <c r="O56" s="1487">
        <v>1010</v>
      </c>
      <c r="P56" s="1495">
        <v>1018</v>
      </c>
      <c r="Q56" s="1545"/>
    </row>
    <row r="57" spans="1:17" ht="16.5" customHeight="1">
      <c r="A57" s="2024" t="s">
        <v>1502</v>
      </c>
      <c r="B57" s="1501" t="s">
        <v>1413</v>
      </c>
      <c r="C57" s="1502" t="s">
        <v>1503</v>
      </c>
      <c r="D57" s="1502" t="s">
        <v>1504</v>
      </c>
      <c r="E57" s="1502" t="s">
        <v>1504</v>
      </c>
      <c r="F57" s="1488" t="s">
        <v>1471</v>
      </c>
      <c r="G57" s="1532">
        <v>5.5</v>
      </c>
      <c r="H57" s="1533">
        <v>8</v>
      </c>
      <c r="I57" s="1534">
        <v>30</v>
      </c>
      <c r="J57" s="1535">
        <v>60</v>
      </c>
      <c r="K57" s="1532">
        <v>8</v>
      </c>
      <c r="L57" s="1536">
        <v>22</v>
      </c>
      <c r="M57" s="1494">
        <v>1055</v>
      </c>
      <c r="N57" s="1504">
        <v>1080</v>
      </c>
      <c r="O57" s="1501">
        <v>1015</v>
      </c>
      <c r="P57" s="1504">
        <v>1022</v>
      </c>
      <c r="Q57" s="1545"/>
    </row>
    <row r="58" spans="1:17" ht="16.5" customHeight="1">
      <c r="A58" s="2023"/>
      <c r="B58" s="1487" t="s">
        <v>1418</v>
      </c>
      <c r="C58" s="1488" t="s">
        <v>1505</v>
      </c>
      <c r="D58" s="1488" t="s">
        <v>1504</v>
      </c>
      <c r="E58" s="1488" t="s">
        <v>1504</v>
      </c>
      <c r="F58" s="1488" t="s">
        <v>1471</v>
      </c>
      <c r="G58" s="1496">
        <v>5.5</v>
      </c>
      <c r="H58" s="1497">
        <v>9</v>
      </c>
      <c r="I58" s="1498">
        <v>30</v>
      </c>
      <c r="J58" s="1499">
        <v>60</v>
      </c>
      <c r="K58" s="1496">
        <v>10</v>
      </c>
      <c r="L58" s="1500">
        <v>22</v>
      </c>
      <c r="M58" s="1494">
        <v>1055</v>
      </c>
      <c r="N58" s="1495">
        <v>1088</v>
      </c>
      <c r="O58" s="1487">
        <v>1015</v>
      </c>
      <c r="P58" s="1495">
        <v>1022</v>
      </c>
      <c r="Q58" s="1545"/>
    </row>
    <row r="59" spans="1:17" ht="16.5" customHeight="1">
      <c r="A59" s="2023"/>
      <c r="B59" s="1487" t="s">
        <v>1420</v>
      </c>
      <c r="C59" s="1488" t="s">
        <v>1506</v>
      </c>
      <c r="D59" s="1488" t="s">
        <v>1504</v>
      </c>
      <c r="E59" s="1488" t="s">
        <v>1504</v>
      </c>
      <c r="F59" s="1488" t="s">
        <v>1488</v>
      </c>
      <c r="G59" s="1496">
        <v>6.5</v>
      </c>
      <c r="H59" s="1497">
        <v>10</v>
      </c>
      <c r="I59" s="1498">
        <v>17</v>
      </c>
      <c r="J59" s="1499">
        <v>35</v>
      </c>
      <c r="K59" s="1496">
        <v>14</v>
      </c>
      <c r="L59" s="1500">
        <v>25</v>
      </c>
      <c r="M59" s="1494">
        <v>1070</v>
      </c>
      <c r="N59" s="1495">
        <v>1130</v>
      </c>
      <c r="O59" s="1487">
        <v>1018</v>
      </c>
      <c r="P59" s="1495">
        <v>1040</v>
      </c>
      <c r="Q59" s="1545"/>
    </row>
    <row r="60" spans="1:17" ht="16.5" customHeight="1">
      <c r="A60" s="2025"/>
      <c r="B60" s="1505" t="s">
        <v>1423</v>
      </c>
      <c r="C60" s="1506" t="s">
        <v>1507</v>
      </c>
      <c r="D60" s="1506" t="s">
        <v>1504</v>
      </c>
      <c r="E60" s="1506" t="s">
        <v>1508</v>
      </c>
      <c r="F60" s="1488" t="s">
        <v>1471</v>
      </c>
      <c r="G60" s="1517">
        <v>8</v>
      </c>
      <c r="H60" s="1518">
        <v>12</v>
      </c>
      <c r="I60" s="1519">
        <v>35</v>
      </c>
      <c r="J60" s="1520">
        <v>70</v>
      </c>
      <c r="K60" s="1517">
        <v>8</v>
      </c>
      <c r="L60" s="1521">
        <v>22</v>
      </c>
      <c r="M60" s="1494">
        <v>1080</v>
      </c>
      <c r="N60" s="1508">
        <v>1120</v>
      </c>
      <c r="O60" s="1505">
        <v>1018</v>
      </c>
      <c r="P60" s="1508">
        <v>1030</v>
      </c>
      <c r="Q60" s="1545"/>
    </row>
    <row r="61" spans="1:17" ht="16.5" customHeight="1">
      <c r="A61" s="2023" t="s">
        <v>1509</v>
      </c>
      <c r="B61" s="1487" t="s">
        <v>1413</v>
      </c>
      <c r="C61" s="1488" t="s">
        <v>1510</v>
      </c>
      <c r="D61" s="1488" t="s">
        <v>1421</v>
      </c>
      <c r="E61" s="1488" t="s">
        <v>1422</v>
      </c>
      <c r="F61" s="1502" t="s">
        <v>1417</v>
      </c>
      <c r="G61" s="1522">
        <v>3.8</v>
      </c>
      <c r="H61" s="1523">
        <v>5.5</v>
      </c>
      <c r="I61" s="1524">
        <v>15</v>
      </c>
      <c r="J61" s="1525">
        <v>28</v>
      </c>
      <c r="K61" s="1522">
        <v>3</v>
      </c>
      <c r="L61" s="1526">
        <v>6</v>
      </c>
      <c r="M61" s="1503">
        <v>1038</v>
      </c>
      <c r="N61" s="1495">
        <v>1054</v>
      </c>
      <c r="O61" s="1487">
        <v>1008</v>
      </c>
      <c r="P61" s="1495">
        <v>1013</v>
      </c>
      <c r="Q61" s="1545"/>
    </row>
    <row r="62" spans="1:17" ht="16.5" customHeight="1">
      <c r="A62" s="2023"/>
      <c r="B62" s="1487" t="s">
        <v>1418</v>
      </c>
      <c r="C62" s="1488" t="s">
        <v>1511</v>
      </c>
      <c r="D62" s="1488" t="s">
        <v>1421</v>
      </c>
      <c r="E62" s="1488" t="s">
        <v>1512</v>
      </c>
      <c r="F62" s="1506" t="s">
        <v>1417</v>
      </c>
      <c r="G62" s="1527">
        <v>4.5</v>
      </c>
      <c r="H62" s="1528">
        <v>6.2</v>
      </c>
      <c r="I62" s="1529">
        <v>30</v>
      </c>
      <c r="J62" s="1530">
        <v>50</v>
      </c>
      <c r="K62" s="1527">
        <v>5</v>
      </c>
      <c r="L62" s="1531">
        <v>10</v>
      </c>
      <c r="M62" s="1507">
        <v>1045</v>
      </c>
      <c r="N62" s="1495">
        <v>1060</v>
      </c>
      <c r="O62" s="1487">
        <v>1010</v>
      </c>
      <c r="P62" s="1495">
        <v>1015</v>
      </c>
      <c r="Q62" s="1545"/>
    </row>
    <row r="63" spans="1:17" ht="16.5" customHeight="1">
      <c r="A63" s="2024" t="s">
        <v>1513</v>
      </c>
      <c r="B63" s="1501" t="s">
        <v>1413</v>
      </c>
      <c r="C63" s="1502" t="s">
        <v>1514</v>
      </c>
      <c r="D63" s="1502" t="s">
        <v>1457</v>
      </c>
      <c r="E63" s="1502" t="s">
        <v>1512</v>
      </c>
      <c r="F63" s="1488" t="s">
        <v>1417</v>
      </c>
      <c r="G63" s="1532">
        <v>4.5</v>
      </c>
      <c r="H63" s="1533">
        <v>6.2</v>
      </c>
      <c r="I63" s="1534">
        <v>25</v>
      </c>
      <c r="J63" s="1535">
        <v>40</v>
      </c>
      <c r="K63" s="1532">
        <v>10</v>
      </c>
      <c r="L63" s="1536">
        <v>17</v>
      </c>
      <c r="M63" s="1494">
        <v>1045</v>
      </c>
      <c r="N63" s="1504">
        <v>1060</v>
      </c>
      <c r="O63" s="1501">
        <v>1010</v>
      </c>
      <c r="P63" s="1504">
        <v>1015</v>
      </c>
      <c r="Q63" s="1545"/>
    </row>
    <row r="64" spans="1:17" ht="16.5" customHeight="1">
      <c r="A64" s="2023"/>
      <c r="B64" s="1487" t="s">
        <v>1418</v>
      </c>
      <c r="C64" s="1488" t="s">
        <v>1515</v>
      </c>
      <c r="D64" s="1488" t="s">
        <v>1430</v>
      </c>
      <c r="E64" s="1488" t="s">
        <v>1422</v>
      </c>
      <c r="F64" s="1488" t="s">
        <v>1417</v>
      </c>
      <c r="G64" s="1496">
        <v>4.5</v>
      </c>
      <c r="H64" s="1497">
        <v>5.5</v>
      </c>
      <c r="I64" s="1498">
        <v>30</v>
      </c>
      <c r="J64" s="1499">
        <v>45</v>
      </c>
      <c r="K64" s="1496">
        <v>10</v>
      </c>
      <c r="L64" s="1500">
        <v>14</v>
      </c>
      <c r="M64" s="1494">
        <v>1048</v>
      </c>
      <c r="N64" s="1495">
        <v>1054</v>
      </c>
      <c r="O64" s="1487">
        <v>1011</v>
      </c>
      <c r="P64" s="1495">
        <v>1014</v>
      </c>
      <c r="Q64" s="1545"/>
    </row>
    <row r="65" spans="1:17" ht="16.5" customHeight="1">
      <c r="A65" s="2025"/>
      <c r="B65" s="1505" t="s">
        <v>1420</v>
      </c>
      <c r="C65" s="1506" t="s">
        <v>1516</v>
      </c>
      <c r="D65" s="1506" t="s">
        <v>1483</v>
      </c>
      <c r="E65" s="1506" t="s">
        <v>1517</v>
      </c>
      <c r="F65" s="1488" t="s">
        <v>1417</v>
      </c>
      <c r="G65" s="1517">
        <v>4.3</v>
      </c>
      <c r="H65" s="1518">
        <v>6.2</v>
      </c>
      <c r="I65" s="1519">
        <v>20</v>
      </c>
      <c r="J65" s="1520">
        <v>30</v>
      </c>
      <c r="K65" s="1517">
        <v>18</v>
      </c>
      <c r="L65" s="1521">
        <v>35</v>
      </c>
      <c r="M65" s="1494">
        <v>1045</v>
      </c>
      <c r="N65" s="1508">
        <v>1060</v>
      </c>
      <c r="O65" s="1505">
        <v>1010</v>
      </c>
      <c r="P65" s="1508">
        <v>1016</v>
      </c>
      <c r="Q65" s="1545"/>
    </row>
    <row r="66" spans="1:17" ht="16.5" customHeight="1">
      <c r="A66" s="2023" t="s">
        <v>1518</v>
      </c>
      <c r="B66" s="1487" t="s">
        <v>1413</v>
      </c>
      <c r="C66" s="1488" t="s">
        <v>1519</v>
      </c>
      <c r="D66" s="1488" t="s">
        <v>889</v>
      </c>
      <c r="E66" s="1488" t="s">
        <v>1517</v>
      </c>
      <c r="F66" s="1502" t="s">
        <v>1417</v>
      </c>
      <c r="G66" s="1522">
        <v>4.8</v>
      </c>
      <c r="H66" s="1523">
        <v>6.5</v>
      </c>
      <c r="I66" s="1524">
        <v>25</v>
      </c>
      <c r="J66" s="1525">
        <v>50</v>
      </c>
      <c r="K66" s="1522">
        <v>22</v>
      </c>
      <c r="L66" s="1526">
        <v>40</v>
      </c>
      <c r="M66" s="1503">
        <v>1050</v>
      </c>
      <c r="N66" s="1495">
        <v>1070</v>
      </c>
      <c r="O66" s="1487">
        <v>1012</v>
      </c>
      <c r="P66" s="1495">
        <v>1018</v>
      </c>
      <c r="Q66" s="1545"/>
    </row>
    <row r="67" spans="1:17" ht="16.5" customHeight="1">
      <c r="A67" s="2023"/>
      <c r="B67" s="1487" t="s">
        <v>1418</v>
      </c>
      <c r="C67" s="1488" t="s">
        <v>1520</v>
      </c>
      <c r="D67" s="1488" t="s">
        <v>1494</v>
      </c>
      <c r="E67" s="1488" t="s">
        <v>1517</v>
      </c>
      <c r="F67" s="1488" t="s">
        <v>1417</v>
      </c>
      <c r="G67" s="1496">
        <v>5</v>
      </c>
      <c r="H67" s="1497">
        <v>7</v>
      </c>
      <c r="I67" s="1498">
        <v>35</v>
      </c>
      <c r="J67" s="1499">
        <v>75</v>
      </c>
      <c r="K67" s="1496">
        <v>30</v>
      </c>
      <c r="L67" s="1500">
        <v>40</v>
      </c>
      <c r="M67" s="1494">
        <v>1050</v>
      </c>
      <c r="N67" s="1495">
        <v>1075</v>
      </c>
      <c r="O67" s="1487">
        <v>1010</v>
      </c>
      <c r="P67" s="1495">
        <v>1022</v>
      </c>
      <c r="Q67" s="1545"/>
    </row>
    <row r="68" spans="1:17" ht="16.5" customHeight="1">
      <c r="A68" s="2023"/>
      <c r="B68" s="1487" t="s">
        <v>1420</v>
      </c>
      <c r="C68" s="1488" t="s">
        <v>872</v>
      </c>
      <c r="D68" s="1488" t="s">
        <v>1494</v>
      </c>
      <c r="E68" s="1488" t="s">
        <v>1498</v>
      </c>
      <c r="F68" s="1506" t="s">
        <v>1471</v>
      </c>
      <c r="G68" s="1527">
        <v>8</v>
      </c>
      <c r="H68" s="1528">
        <v>12</v>
      </c>
      <c r="I68" s="1529">
        <v>50</v>
      </c>
      <c r="J68" s="1530">
        <v>90</v>
      </c>
      <c r="K68" s="1527">
        <v>30</v>
      </c>
      <c r="L68" s="1531">
        <v>40</v>
      </c>
      <c r="M68" s="1507">
        <v>1075</v>
      </c>
      <c r="N68" s="1495">
        <v>1115</v>
      </c>
      <c r="O68" s="1487">
        <v>1018</v>
      </c>
      <c r="P68" s="1495">
        <v>1030</v>
      </c>
      <c r="Q68" s="1545"/>
    </row>
    <row r="69" spans="1:17" ht="16.5" customHeight="1">
      <c r="A69" s="2024" t="s">
        <v>1521</v>
      </c>
      <c r="B69" s="1501" t="s">
        <v>1413</v>
      </c>
      <c r="C69" s="1502" t="s">
        <v>1522</v>
      </c>
      <c r="D69" s="1502" t="s">
        <v>1480</v>
      </c>
      <c r="E69" s="1502" t="s">
        <v>1512</v>
      </c>
      <c r="F69" s="1488" t="s">
        <v>1417</v>
      </c>
      <c r="G69" s="1532">
        <v>5.5</v>
      </c>
      <c r="H69" s="1533">
        <v>7.5</v>
      </c>
      <c r="I69" s="1534">
        <v>40</v>
      </c>
      <c r="J69" s="1535">
        <v>70</v>
      </c>
      <c r="K69" s="1532">
        <v>6</v>
      </c>
      <c r="L69" s="1536">
        <v>14</v>
      </c>
      <c r="M69" s="1494">
        <v>1056</v>
      </c>
      <c r="N69" s="1504">
        <v>1070</v>
      </c>
      <c r="O69" s="1501">
        <v>1008</v>
      </c>
      <c r="P69" s="1504">
        <v>1014</v>
      </c>
      <c r="Q69" s="1545"/>
    </row>
    <row r="70" spans="1:17" ht="16.5" customHeight="1">
      <c r="A70" s="2023"/>
      <c r="B70" s="1487" t="s">
        <v>1418</v>
      </c>
      <c r="C70" s="1537" t="s">
        <v>1523</v>
      </c>
      <c r="D70" s="1488" t="s">
        <v>1480</v>
      </c>
      <c r="E70" s="1488" t="s">
        <v>1524</v>
      </c>
      <c r="F70" s="1488" t="s">
        <v>1417</v>
      </c>
      <c r="G70" s="1496">
        <v>6.2</v>
      </c>
      <c r="H70" s="1497">
        <v>9.5</v>
      </c>
      <c r="I70" s="1498">
        <v>50</v>
      </c>
      <c r="J70" s="1499">
        <v>100</v>
      </c>
      <c r="K70" s="1496">
        <v>5</v>
      </c>
      <c r="L70" s="1500">
        <v>15</v>
      </c>
      <c r="M70" s="1494">
        <v>1058</v>
      </c>
      <c r="N70" s="1495">
        <v>1080</v>
      </c>
      <c r="O70" s="1487">
        <v>1008</v>
      </c>
      <c r="P70" s="1495">
        <v>1016</v>
      </c>
      <c r="Q70" s="1545"/>
    </row>
    <row r="71" spans="1:17" ht="16.5" customHeight="1">
      <c r="A71" s="2023"/>
      <c r="B71" s="1487" t="s">
        <v>1418</v>
      </c>
      <c r="C71" s="1537" t="s">
        <v>1525</v>
      </c>
      <c r="D71" s="1488" t="s">
        <v>1480</v>
      </c>
      <c r="E71" s="1488" t="s">
        <v>1524</v>
      </c>
      <c r="F71" s="1488" t="s">
        <v>1417</v>
      </c>
      <c r="G71" s="1496">
        <v>5.5</v>
      </c>
      <c r="H71" s="1497">
        <v>9</v>
      </c>
      <c r="I71" s="1498">
        <v>50</v>
      </c>
      <c r="J71" s="1499">
        <v>90</v>
      </c>
      <c r="K71" s="1496">
        <v>25</v>
      </c>
      <c r="L71" s="1500">
        <v>40</v>
      </c>
      <c r="M71" s="1494">
        <v>1050</v>
      </c>
      <c r="N71" s="1495">
        <v>1085</v>
      </c>
      <c r="O71" s="1487">
        <v>1010</v>
      </c>
      <c r="P71" s="1495">
        <v>1018</v>
      </c>
      <c r="Q71" s="1545"/>
    </row>
    <row r="72" spans="1:17" ht="16.5" customHeight="1">
      <c r="A72" s="2023"/>
      <c r="B72" s="1487" t="s">
        <v>1418</v>
      </c>
      <c r="C72" s="1537" t="s">
        <v>1526</v>
      </c>
      <c r="D72" s="1488" t="s">
        <v>1480</v>
      </c>
      <c r="E72" s="1488" t="s">
        <v>1524</v>
      </c>
      <c r="F72" s="1488" t="s">
        <v>1417</v>
      </c>
      <c r="G72" s="1496">
        <v>5.5</v>
      </c>
      <c r="H72" s="1497">
        <v>7.5</v>
      </c>
      <c r="I72" s="1498">
        <v>40</v>
      </c>
      <c r="J72" s="1499">
        <v>70</v>
      </c>
      <c r="K72" s="1496">
        <v>11</v>
      </c>
      <c r="L72" s="1500">
        <v>19</v>
      </c>
      <c r="M72" s="1494">
        <v>1056</v>
      </c>
      <c r="N72" s="1495">
        <v>1070</v>
      </c>
      <c r="O72" s="1487">
        <v>1008</v>
      </c>
      <c r="P72" s="1495">
        <v>1016</v>
      </c>
      <c r="Q72" s="1545"/>
    </row>
    <row r="73" spans="1:17" ht="16.5" customHeight="1">
      <c r="A73" s="2023"/>
      <c r="B73" s="1487" t="s">
        <v>1418</v>
      </c>
      <c r="C73" s="1537" t="s">
        <v>1527</v>
      </c>
      <c r="D73" s="1488" t="s">
        <v>1480</v>
      </c>
      <c r="E73" s="1488" t="s">
        <v>1524</v>
      </c>
      <c r="F73" s="1488" t="s">
        <v>1417</v>
      </c>
      <c r="G73" s="1496">
        <v>5.5</v>
      </c>
      <c r="H73" s="1497">
        <v>7.5</v>
      </c>
      <c r="I73" s="1498">
        <v>40</v>
      </c>
      <c r="J73" s="1499">
        <v>70</v>
      </c>
      <c r="K73" s="1496">
        <v>11</v>
      </c>
      <c r="L73" s="1500">
        <v>19</v>
      </c>
      <c r="M73" s="1494">
        <v>1056</v>
      </c>
      <c r="N73" s="1495">
        <v>1070</v>
      </c>
      <c r="O73" s="1487">
        <v>1008</v>
      </c>
      <c r="P73" s="1495">
        <v>1016</v>
      </c>
      <c r="Q73" s="1545"/>
    </row>
    <row r="74" spans="1:17" ht="16.5" customHeight="1">
      <c r="A74" s="2023"/>
      <c r="B74" s="1487" t="s">
        <v>1418</v>
      </c>
      <c r="C74" s="1537" t="s">
        <v>1528</v>
      </c>
      <c r="D74" s="1488" t="s">
        <v>1480</v>
      </c>
      <c r="E74" s="1488" t="s">
        <v>1524</v>
      </c>
      <c r="F74" s="1488" t="s">
        <v>1417</v>
      </c>
      <c r="G74" s="1496">
        <v>5.5</v>
      </c>
      <c r="H74" s="1497">
        <v>8</v>
      </c>
      <c r="I74" s="1498">
        <v>50</v>
      </c>
      <c r="J74" s="1499">
        <v>75</v>
      </c>
      <c r="K74" s="1496">
        <v>6</v>
      </c>
      <c r="L74" s="1500">
        <v>14</v>
      </c>
      <c r="M74" s="1494">
        <v>1056</v>
      </c>
      <c r="N74" s="1495">
        <v>1075</v>
      </c>
      <c r="O74" s="1487">
        <v>1008</v>
      </c>
      <c r="P74" s="1495">
        <v>1014</v>
      </c>
      <c r="Q74" s="1545"/>
    </row>
    <row r="75" spans="1:17" ht="16.5" customHeight="1">
      <c r="A75" s="2025"/>
      <c r="B75" s="1505" t="s">
        <v>1418</v>
      </c>
      <c r="C75" s="1538" t="s">
        <v>1529</v>
      </c>
      <c r="D75" s="1506" t="s">
        <v>1480</v>
      </c>
      <c r="E75" s="1506" t="s">
        <v>1524</v>
      </c>
      <c r="F75" s="1488" t="s">
        <v>1417</v>
      </c>
      <c r="G75" s="1517">
        <v>5.5</v>
      </c>
      <c r="H75" s="1518">
        <v>7</v>
      </c>
      <c r="I75" s="1519">
        <v>40</v>
      </c>
      <c r="J75" s="1520">
        <v>70</v>
      </c>
      <c r="K75" s="1517">
        <v>5</v>
      </c>
      <c r="L75" s="1521">
        <v>8</v>
      </c>
      <c r="M75" s="1507">
        <v>1056</v>
      </c>
      <c r="N75" s="1508">
        <v>1065</v>
      </c>
      <c r="O75" s="1505">
        <v>1010</v>
      </c>
      <c r="P75" s="1508">
        <v>1016</v>
      </c>
      <c r="Q75" s="1545"/>
    </row>
    <row r="76" spans="1:17" ht="16.5" customHeight="1">
      <c r="A76" s="2023" t="s">
        <v>1530</v>
      </c>
      <c r="B76" s="1487" t="s">
        <v>1413</v>
      </c>
      <c r="C76" s="1488" t="s">
        <v>1531</v>
      </c>
      <c r="D76" s="1488" t="s">
        <v>1480</v>
      </c>
      <c r="E76" s="1488" t="s">
        <v>1524</v>
      </c>
      <c r="F76" s="1502" t="s">
        <v>1417</v>
      </c>
      <c r="G76" s="1522">
        <v>7.5</v>
      </c>
      <c r="H76" s="1523">
        <v>10</v>
      </c>
      <c r="I76" s="1524">
        <v>60</v>
      </c>
      <c r="J76" s="1525">
        <v>120</v>
      </c>
      <c r="K76" s="1522">
        <v>6</v>
      </c>
      <c r="L76" s="1526">
        <v>14</v>
      </c>
      <c r="M76" s="1494">
        <v>1065</v>
      </c>
      <c r="N76" s="1495">
        <v>1085</v>
      </c>
      <c r="O76" s="1487">
        <v>1008</v>
      </c>
      <c r="P76" s="1495">
        <v>1018</v>
      </c>
      <c r="Q76" s="1545"/>
    </row>
    <row r="77" spans="1:17" ht="16.5" customHeight="1">
      <c r="A77" s="2023"/>
      <c r="B77" s="1487" t="s">
        <v>1418</v>
      </c>
      <c r="C77" s="1488" t="s">
        <v>1532</v>
      </c>
      <c r="D77" s="1488" t="s">
        <v>1504</v>
      </c>
      <c r="E77" s="1488" t="s">
        <v>1504</v>
      </c>
      <c r="F77" s="1488" t="s">
        <v>1417</v>
      </c>
      <c r="G77" s="1496">
        <v>6.3</v>
      </c>
      <c r="H77" s="1497">
        <v>10</v>
      </c>
      <c r="I77" s="1498">
        <v>50</v>
      </c>
      <c r="J77" s="1499">
        <v>100</v>
      </c>
      <c r="K77" s="1496">
        <v>7</v>
      </c>
      <c r="L77" s="1500">
        <v>19</v>
      </c>
      <c r="M77" s="1494">
        <v>1062</v>
      </c>
      <c r="N77" s="1495">
        <v>1090</v>
      </c>
      <c r="O77" s="1487">
        <v>1014</v>
      </c>
      <c r="P77" s="1495">
        <v>1024</v>
      </c>
      <c r="Q77" s="1545"/>
    </row>
    <row r="78" spans="1:17" ht="16.5" customHeight="1">
      <c r="A78" s="2023"/>
      <c r="B78" s="1487" t="s">
        <v>1420</v>
      </c>
      <c r="C78" s="1488" t="s">
        <v>1533</v>
      </c>
      <c r="D78" s="1488" t="s">
        <v>1504</v>
      </c>
      <c r="E78" s="1488" t="s">
        <v>1508</v>
      </c>
      <c r="F78" s="1488" t="s">
        <v>1417</v>
      </c>
      <c r="G78" s="1496">
        <v>8</v>
      </c>
      <c r="H78" s="1497">
        <v>12</v>
      </c>
      <c r="I78" s="1498">
        <v>50</v>
      </c>
      <c r="J78" s="1499">
        <v>100</v>
      </c>
      <c r="K78" s="1496">
        <v>10</v>
      </c>
      <c r="L78" s="1500">
        <v>19</v>
      </c>
      <c r="M78" s="1494">
        <v>1080</v>
      </c>
      <c r="N78" s="1495">
        <v>1120</v>
      </c>
      <c r="O78" s="1487">
        <v>1016</v>
      </c>
      <c r="P78" s="1495">
        <v>1030</v>
      </c>
      <c r="Q78" s="1545"/>
    </row>
    <row r="79" spans="1:17" ht="16.5" customHeight="1">
      <c r="A79" s="2023"/>
      <c r="B79" s="1487" t="s">
        <v>1423</v>
      </c>
      <c r="C79" s="1488" t="s">
        <v>1534</v>
      </c>
      <c r="D79" s="1488" t="s">
        <v>1504</v>
      </c>
      <c r="E79" s="1488" t="s">
        <v>1508</v>
      </c>
      <c r="F79" s="1506" t="s">
        <v>1417</v>
      </c>
      <c r="G79" s="1527">
        <v>8</v>
      </c>
      <c r="H79" s="1528">
        <v>12</v>
      </c>
      <c r="I79" s="1529">
        <v>30</v>
      </c>
      <c r="J79" s="1530">
        <v>60</v>
      </c>
      <c r="K79" s="1527">
        <v>8</v>
      </c>
      <c r="L79" s="1531">
        <v>15</v>
      </c>
      <c r="M79" s="1494">
        <v>1080</v>
      </c>
      <c r="N79" s="1495">
        <v>1120</v>
      </c>
      <c r="O79" s="1487">
        <v>1016</v>
      </c>
      <c r="P79" s="1495">
        <v>1030</v>
      </c>
      <c r="Q79" s="1545"/>
    </row>
    <row r="80" spans="1:17" ht="16.5" customHeight="1">
      <c r="A80" s="2024" t="s">
        <v>1535</v>
      </c>
      <c r="B80" s="1501" t="s">
        <v>1413</v>
      </c>
      <c r="C80" s="1502" t="s">
        <v>1536</v>
      </c>
      <c r="D80" s="1502" t="s">
        <v>1425</v>
      </c>
      <c r="E80" s="1502" t="s">
        <v>1537</v>
      </c>
      <c r="F80" s="1488" t="s">
        <v>1443</v>
      </c>
      <c r="G80" s="1532">
        <v>2.8</v>
      </c>
      <c r="H80" s="1533">
        <v>3.8</v>
      </c>
      <c r="I80" s="1534">
        <v>3</v>
      </c>
      <c r="J80" s="1535">
        <v>8</v>
      </c>
      <c r="K80" s="1532">
        <v>2</v>
      </c>
      <c r="L80" s="1536">
        <v>3</v>
      </c>
      <c r="M80" s="1503">
        <v>1028</v>
      </c>
      <c r="N80" s="1504">
        <v>1032</v>
      </c>
      <c r="O80" s="1501">
        <v>1003</v>
      </c>
      <c r="P80" s="1504">
        <v>1006</v>
      </c>
      <c r="Q80" s="1545"/>
    </row>
    <row r="81" spans="1:17" ht="16.5" customHeight="1">
      <c r="A81" s="2023"/>
      <c r="B81" s="1487" t="s">
        <v>1418</v>
      </c>
      <c r="C81" s="1488" t="s">
        <v>1538</v>
      </c>
      <c r="D81" s="1488" t="s">
        <v>1539</v>
      </c>
      <c r="E81" s="1488" t="s">
        <v>1540</v>
      </c>
      <c r="F81" s="1488" t="s">
        <v>1541</v>
      </c>
      <c r="G81" s="1496">
        <v>4.5999999999999996</v>
      </c>
      <c r="H81" s="1497">
        <v>6.5</v>
      </c>
      <c r="I81" s="1498">
        <v>10</v>
      </c>
      <c r="J81" s="1499">
        <v>25</v>
      </c>
      <c r="K81" s="1496">
        <v>10</v>
      </c>
      <c r="L81" s="1500">
        <v>16</v>
      </c>
      <c r="M81" s="1494">
        <v>1048</v>
      </c>
      <c r="N81" s="1495">
        <v>1057</v>
      </c>
      <c r="O81" s="1487">
        <v>1002</v>
      </c>
      <c r="P81" s="1495">
        <v>1012</v>
      </c>
      <c r="Q81" s="1545"/>
    </row>
    <row r="82" spans="1:17" ht="16.5" customHeight="1">
      <c r="A82" s="2023"/>
      <c r="B82" s="1487" t="s">
        <v>1420</v>
      </c>
      <c r="C82" s="1488" t="s">
        <v>887</v>
      </c>
      <c r="D82" s="1488" t="s">
        <v>1539</v>
      </c>
      <c r="E82" s="1488" t="s">
        <v>1540</v>
      </c>
      <c r="F82" s="1488" t="s">
        <v>1541</v>
      </c>
      <c r="G82" s="1496">
        <v>4</v>
      </c>
      <c r="H82" s="1497">
        <v>8</v>
      </c>
      <c r="I82" s="1498">
        <v>20</v>
      </c>
      <c r="J82" s="1499">
        <v>25</v>
      </c>
      <c r="K82" s="1496">
        <v>15</v>
      </c>
      <c r="L82" s="1500">
        <v>22</v>
      </c>
      <c r="M82" s="1494">
        <v>1040</v>
      </c>
      <c r="N82" s="1495">
        <v>1074</v>
      </c>
      <c r="O82" s="1487">
        <v>1008</v>
      </c>
      <c r="P82" s="1495">
        <v>1012</v>
      </c>
      <c r="Q82" s="1545"/>
    </row>
    <row r="83" spans="1:17" ht="16.5" customHeight="1">
      <c r="A83" s="2023"/>
      <c r="B83" s="1487" t="s">
        <v>1423</v>
      </c>
      <c r="C83" s="1488" t="s">
        <v>1542</v>
      </c>
      <c r="D83" s="1488" t="s">
        <v>1425</v>
      </c>
      <c r="E83" s="1488" t="s">
        <v>1540</v>
      </c>
      <c r="F83" s="1488" t="s">
        <v>1541</v>
      </c>
      <c r="G83" s="1496">
        <v>5</v>
      </c>
      <c r="H83" s="1497">
        <v>6.5</v>
      </c>
      <c r="I83" s="1498">
        <v>0</v>
      </c>
      <c r="J83" s="1499">
        <v>10</v>
      </c>
      <c r="K83" s="1496">
        <v>3</v>
      </c>
      <c r="L83" s="1500">
        <v>7</v>
      </c>
      <c r="M83" s="1494">
        <v>1040</v>
      </c>
      <c r="N83" s="1495">
        <v>1054</v>
      </c>
      <c r="O83" s="1487">
        <v>1001</v>
      </c>
      <c r="P83" s="1495">
        <v>1010</v>
      </c>
      <c r="Q83" s="1545"/>
    </row>
    <row r="84" spans="1:17" ht="16.5" customHeight="1">
      <c r="A84" s="2023"/>
      <c r="B84" s="1487" t="s">
        <v>1543</v>
      </c>
      <c r="C84" s="1488" t="s">
        <v>1544</v>
      </c>
      <c r="D84" s="1488" t="s">
        <v>1425</v>
      </c>
      <c r="E84" s="1488" t="s">
        <v>1540</v>
      </c>
      <c r="F84" s="1488" t="s">
        <v>1541</v>
      </c>
      <c r="G84" s="1496">
        <v>5</v>
      </c>
      <c r="H84" s="1497">
        <v>8</v>
      </c>
      <c r="I84" s="1498">
        <v>0</v>
      </c>
      <c r="J84" s="1499">
        <v>10</v>
      </c>
      <c r="K84" s="1496">
        <v>3</v>
      </c>
      <c r="L84" s="1500">
        <v>7</v>
      </c>
      <c r="M84" s="1494">
        <v>1040</v>
      </c>
      <c r="N84" s="1495">
        <v>1060</v>
      </c>
      <c r="O84" s="1487">
        <v>1000</v>
      </c>
      <c r="P84" s="1495">
        <v>1006</v>
      </c>
      <c r="Q84" s="1545"/>
    </row>
    <row r="85" spans="1:17" ht="16.5" customHeight="1">
      <c r="A85" s="2025"/>
      <c r="B85" s="1505" t="s">
        <v>1545</v>
      </c>
      <c r="C85" s="1506" t="s">
        <v>1546</v>
      </c>
      <c r="D85" s="1506" t="s">
        <v>1425</v>
      </c>
      <c r="E85" s="1506" t="s">
        <v>1540</v>
      </c>
      <c r="F85" s="1488" t="s">
        <v>1541</v>
      </c>
      <c r="G85" s="1517">
        <v>5</v>
      </c>
      <c r="H85" s="1518">
        <v>7</v>
      </c>
      <c r="I85" s="1519">
        <v>0</v>
      </c>
      <c r="J85" s="1520">
        <v>10</v>
      </c>
      <c r="K85" s="1517">
        <v>3</v>
      </c>
      <c r="L85" s="1521">
        <v>7</v>
      </c>
      <c r="M85" s="1494">
        <v>1040</v>
      </c>
      <c r="N85" s="1508">
        <v>1060</v>
      </c>
      <c r="O85" s="1505">
        <v>1000</v>
      </c>
      <c r="P85" s="1508">
        <v>1010</v>
      </c>
      <c r="Q85" s="1545"/>
    </row>
    <row r="86" spans="1:17" ht="16.5" customHeight="1">
      <c r="A86" s="2023" t="s">
        <v>1547</v>
      </c>
      <c r="B86" s="1487" t="s">
        <v>1413</v>
      </c>
      <c r="C86" s="1488" t="s">
        <v>1548</v>
      </c>
      <c r="D86" s="1488" t="s">
        <v>1425</v>
      </c>
      <c r="E86" s="1488" t="s">
        <v>1425</v>
      </c>
      <c r="F86" s="1502" t="s">
        <v>1541</v>
      </c>
      <c r="G86" s="1522">
        <v>4.5</v>
      </c>
      <c r="H86" s="1523">
        <v>5.5</v>
      </c>
      <c r="I86" s="1524">
        <v>8</v>
      </c>
      <c r="J86" s="1525">
        <v>20</v>
      </c>
      <c r="K86" s="1522">
        <v>2</v>
      </c>
      <c r="L86" s="1526">
        <v>4</v>
      </c>
      <c r="M86" s="1503">
        <v>1044</v>
      </c>
      <c r="N86" s="1495">
        <v>1052</v>
      </c>
      <c r="O86" s="1487">
        <v>1008</v>
      </c>
      <c r="P86" s="1495">
        <v>1012</v>
      </c>
      <c r="Q86" s="1545"/>
    </row>
    <row r="87" spans="1:17" ht="16.5" customHeight="1">
      <c r="A87" s="2023"/>
      <c r="B87" s="1487" t="s">
        <v>1418</v>
      </c>
      <c r="C87" s="1488" t="s">
        <v>1549</v>
      </c>
      <c r="D87" s="1488" t="s">
        <v>1421</v>
      </c>
      <c r="E87" s="1488" t="s">
        <v>1476</v>
      </c>
      <c r="F87" s="1488" t="s">
        <v>1541</v>
      </c>
      <c r="G87" s="1496">
        <v>4.8</v>
      </c>
      <c r="H87" s="1497">
        <v>5.5</v>
      </c>
      <c r="I87" s="1498">
        <v>20</v>
      </c>
      <c r="J87" s="1499">
        <v>30</v>
      </c>
      <c r="K87" s="1496">
        <v>8</v>
      </c>
      <c r="L87" s="1500">
        <v>14</v>
      </c>
      <c r="M87" s="1494">
        <v>1048</v>
      </c>
      <c r="N87" s="1495">
        <v>1054</v>
      </c>
      <c r="O87" s="1487">
        <v>1010</v>
      </c>
      <c r="P87" s="1495">
        <v>1014</v>
      </c>
      <c r="Q87" s="1545"/>
    </row>
    <row r="88" spans="1:17" ht="16.5" customHeight="1">
      <c r="A88" s="2023"/>
      <c r="B88" s="1487" t="s">
        <v>1420</v>
      </c>
      <c r="C88" s="1488" t="s">
        <v>1550</v>
      </c>
      <c r="D88" s="1488" t="s">
        <v>1457</v>
      </c>
      <c r="E88" s="1488" t="s">
        <v>1551</v>
      </c>
      <c r="F88" s="1506" t="s">
        <v>1273</v>
      </c>
      <c r="G88" s="1527">
        <v>6</v>
      </c>
      <c r="H88" s="1528">
        <v>8.5</v>
      </c>
      <c r="I88" s="1529">
        <v>18</v>
      </c>
      <c r="J88" s="1530">
        <v>28</v>
      </c>
      <c r="K88" s="1527">
        <v>6</v>
      </c>
      <c r="L88" s="1531">
        <v>19</v>
      </c>
      <c r="M88" s="1507">
        <v>1060</v>
      </c>
      <c r="N88" s="1495">
        <v>1080</v>
      </c>
      <c r="O88" s="1487">
        <v>1008</v>
      </c>
      <c r="P88" s="1495">
        <v>1016</v>
      </c>
      <c r="Q88" s="1545"/>
    </row>
    <row r="89" spans="1:17" ht="16.5" customHeight="1">
      <c r="A89" s="2024" t="s">
        <v>1552</v>
      </c>
      <c r="B89" s="1501" t="s">
        <v>1413</v>
      </c>
      <c r="C89" s="1502" t="s">
        <v>1553</v>
      </c>
      <c r="D89" s="1502" t="s">
        <v>1421</v>
      </c>
      <c r="E89" s="1502" t="s">
        <v>1354</v>
      </c>
      <c r="F89" s="1488" t="s">
        <v>1541</v>
      </c>
      <c r="G89" s="1532">
        <v>6</v>
      </c>
      <c r="H89" s="1533">
        <v>7.5</v>
      </c>
      <c r="I89" s="1534">
        <v>15</v>
      </c>
      <c r="J89" s="1535">
        <v>30</v>
      </c>
      <c r="K89" s="1532">
        <v>4</v>
      </c>
      <c r="L89" s="1536">
        <v>7</v>
      </c>
      <c r="M89" s="1494">
        <v>1062</v>
      </c>
      <c r="N89" s="1504">
        <v>1075</v>
      </c>
      <c r="O89" s="1501">
        <v>1008</v>
      </c>
      <c r="P89" s="1504">
        <v>1018</v>
      </c>
      <c r="Q89" s="1545"/>
    </row>
    <row r="90" spans="1:17" ht="16.5" customHeight="1">
      <c r="A90" s="2023"/>
      <c r="B90" s="1487" t="s">
        <v>1418</v>
      </c>
      <c r="C90" s="1488" t="s">
        <v>1379</v>
      </c>
      <c r="D90" s="1488" t="s">
        <v>1421</v>
      </c>
      <c r="E90" s="1488" t="s">
        <v>1551</v>
      </c>
      <c r="F90" s="1488" t="s">
        <v>1541</v>
      </c>
      <c r="G90" s="1496">
        <v>3.5</v>
      </c>
      <c r="H90" s="1497">
        <v>9.5</v>
      </c>
      <c r="I90" s="1498">
        <v>20</v>
      </c>
      <c r="J90" s="1499">
        <v>35</v>
      </c>
      <c r="K90" s="1496">
        <v>5</v>
      </c>
      <c r="L90" s="1500">
        <v>22</v>
      </c>
      <c r="M90" s="1494">
        <v>1048</v>
      </c>
      <c r="N90" s="1495">
        <v>1065</v>
      </c>
      <c r="O90" s="1487">
        <v>1002</v>
      </c>
      <c r="P90" s="1495">
        <v>1008</v>
      </c>
      <c r="Q90" s="1545"/>
    </row>
    <row r="91" spans="1:17" ht="16.5" customHeight="1">
      <c r="A91" s="2025"/>
      <c r="B91" s="1505" t="s">
        <v>1420</v>
      </c>
      <c r="C91" s="1506" t="s">
        <v>1554</v>
      </c>
      <c r="D91" s="1506" t="s">
        <v>1504</v>
      </c>
      <c r="E91" s="1506" t="s">
        <v>1356</v>
      </c>
      <c r="F91" s="1488" t="s">
        <v>1541</v>
      </c>
      <c r="G91" s="1517">
        <v>7.5</v>
      </c>
      <c r="H91" s="1518">
        <v>10.5</v>
      </c>
      <c r="I91" s="1519">
        <v>22</v>
      </c>
      <c r="J91" s="1520">
        <v>35</v>
      </c>
      <c r="K91" s="1517">
        <v>3</v>
      </c>
      <c r="L91" s="1521">
        <v>6</v>
      </c>
      <c r="M91" s="1494">
        <v>1070</v>
      </c>
      <c r="N91" s="1508">
        <v>1095</v>
      </c>
      <c r="O91" s="1505">
        <v>1005</v>
      </c>
      <c r="P91" s="1508">
        <v>1016</v>
      </c>
      <c r="Q91" s="1545"/>
    </row>
    <row r="92" spans="1:17" ht="16.5" customHeight="1">
      <c r="A92" s="2023" t="s">
        <v>1555</v>
      </c>
      <c r="B92" s="1487" t="s">
        <v>1413</v>
      </c>
      <c r="C92" s="1488" t="s">
        <v>1556</v>
      </c>
      <c r="D92" s="1488" t="s">
        <v>1421</v>
      </c>
      <c r="E92" s="1488" t="s">
        <v>1354</v>
      </c>
      <c r="F92" s="1502" t="s">
        <v>1541</v>
      </c>
      <c r="G92" s="1522">
        <v>4.8</v>
      </c>
      <c r="H92" s="1523">
        <v>6</v>
      </c>
      <c r="I92" s="1524">
        <v>25</v>
      </c>
      <c r="J92" s="1525">
        <v>45</v>
      </c>
      <c r="K92" s="1522">
        <v>3</v>
      </c>
      <c r="L92" s="1526">
        <v>5</v>
      </c>
      <c r="M92" s="1503">
        <v>1044</v>
      </c>
      <c r="N92" s="1495">
        <v>1054</v>
      </c>
      <c r="O92" s="1487">
        <v>1004</v>
      </c>
      <c r="P92" s="1495">
        <v>1010</v>
      </c>
      <c r="Q92" s="1545"/>
    </row>
    <row r="93" spans="1:17" ht="16.5" customHeight="1">
      <c r="A93" s="2023"/>
      <c r="B93" s="1487" t="s">
        <v>1418</v>
      </c>
      <c r="C93" s="1488" t="s">
        <v>839</v>
      </c>
      <c r="D93" s="1488" t="s">
        <v>1457</v>
      </c>
      <c r="E93" s="1488" t="s">
        <v>1354</v>
      </c>
      <c r="F93" s="1488" t="s">
        <v>1541</v>
      </c>
      <c r="G93" s="1496">
        <v>6</v>
      </c>
      <c r="H93" s="1497">
        <v>7.6</v>
      </c>
      <c r="I93" s="1498">
        <v>15</v>
      </c>
      <c r="J93" s="1499">
        <v>25</v>
      </c>
      <c r="K93" s="1496">
        <v>10</v>
      </c>
      <c r="L93" s="1500">
        <v>17</v>
      </c>
      <c r="M93" s="1494">
        <v>1062</v>
      </c>
      <c r="N93" s="1495">
        <v>1075</v>
      </c>
      <c r="O93" s="1487">
        <v>1008</v>
      </c>
      <c r="P93" s="1495">
        <v>1018</v>
      </c>
      <c r="Q93" s="1545"/>
    </row>
    <row r="94" spans="1:17" ht="16.5" customHeight="1">
      <c r="A94" s="2023"/>
      <c r="B94" s="1487" t="s">
        <v>1420</v>
      </c>
      <c r="C94" s="1488" t="s">
        <v>1557</v>
      </c>
      <c r="D94" s="1488" t="s">
        <v>1504</v>
      </c>
      <c r="E94" s="1488" t="s">
        <v>1356</v>
      </c>
      <c r="F94" s="1488" t="s">
        <v>1541</v>
      </c>
      <c r="G94" s="1496">
        <v>7.5</v>
      </c>
      <c r="H94" s="1497">
        <v>9.5</v>
      </c>
      <c r="I94" s="1498">
        <v>20</v>
      </c>
      <c r="J94" s="1499">
        <v>40</v>
      </c>
      <c r="K94" s="1496">
        <v>4.5</v>
      </c>
      <c r="L94" s="1500">
        <v>7</v>
      </c>
      <c r="M94" s="1494">
        <v>1075</v>
      </c>
      <c r="N94" s="1495">
        <v>1085</v>
      </c>
      <c r="O94" s="1487">
        <v>1008</v>
      </c>
      <c r="P94" s="1495">
        <v>1014</v>
      </c>
      <c r="Q94" s="1545"/>
    </row>
    <row r="95" spans="1:17" ht="16.5" customHeight="1">
      <c r="A95" s="2023"/>
      <c r="B95" s="1487" t="s">
        <v>1423</v>
      </c>
      <c r="C95" s="1488" t="s">
        <v>1558</v>
      </c>
      <c r="D95" s="1488" t="s">
        <v>1504</v>
      </c>
      <c r="E95" s="1488" t="s">
        <v>1356</v>
      </c>
      <c r="F95" s="1506" t="s">
        <v>1541</v>
      </c>
      <c r="G95" s="1527">
        <v>8</v>
      </c>
      <c r="H95" s="1528">
        <v>12</v>
      </c>
      <c r="I95" s="1529">
        <v>20</v>
      </c>
      <c r="J95" s="1530">
        <v>35</v>
      </c>
      <c r="K95" s="1527">
        <v>12</v>
      </c>
      <c r="L95" s="1531">
        <v>22</v>
      </c>
      <c r="M95" s="1507">
        <v>1075</v>
      </c>
      <c r="N95" s="1495">
        <v>1110</v>
      </c>
      <c r="O95" s="1487">
        <v>1010</v>
      </c>
      <c r="P95" s="1495">
        <v>1024</v>
      </c>
      <c r="Q95" s="1545"/>
    </row>
    <row r="96" spans="1:17" ht="16.5" customHeight="1">
      <c r="A96" s="2024" t="s">
        <v>1559</v>
      </c>
      <c r="B96" s="1501" t="s">
        <v>1413</v>
      </c>
      <c r="C96" s="1539" t="s">
        <v>1560</v>
      </c>
      <c r="D96" s="1502" t="s">
        <v>1425</v>
      </c>
      <c r="E96" s="1502" t="s">
        <v>1537</v>
      </c>
      <c r="F96" s="1488" t="s">
        <v>1443</v>
      </c>
      <c r="G96" s="1532">
        <v>4.2</v>
      </c>
      <c r="H96" s="1533">
        <v>4.8</v>
      </c>
      <c r="I96" s="1534">
        <v>5</v>
      </c>
      <c r="J96" s="1535">
        <v>12</v>
      </c>
      <c r="K96" s="1532">
        <v>3</v>
      </c>
      <c r="L96" s="1536">
        <v>4</v>
      </c>
      <c r="M96" s="1494">
        <v>1036</v>
      </c>
      <c r="N96" s="1504">
        <v>1056</v>
      </c>
      <c r="O96" s="1501">
        <v>1006</v>
      </c>
      <c r="P96" s="1504">
        <v>1010</v>
      </c>
      <c r="Q96" s="1545"/>
    </row>
    <row r="97" spans="1:17" ht="16.5" customHeight="1">
      <c r="A97" s="2023"/>
      <c r="B97" s="1487" t="s">
        <v>1413</v>
      </c>
      <c r="C97" s="1537" t="s">
        <v>1561</v>
      </c>
      <c r="D97" s="1488" t="s">
        <v>1457</v>
      </c>
      <c r="E97" s="1488" t="s">
        <v>1422</v>
      </c>
      <c r="F97" s="1488" t="s">
        <v>1417</v>
      </c>
      <c r="G97" s="1496">
        <v>4</v>
      </c>
      <c r="H97" s="1497">
        <v>5.5</v>
      </c>
      <c r="I97" s="1498">
        <v>15</v>
      </c>
      <c r="J97" s="1499">
        <v>30</v>
      </c>
      <c r="K97" s="1496">
        <v>11</v>
      </c>
      <c r="L97" s="1500">
        <v>20</v>
      </c>
      <c r="M97" s="1494">
        <v>1044</v>
      </c>
      <c r="N97" s="1495">
        <v>1055</v>
      </c>
      <c r="O97" s="1487">
        <v>1010</v>
      </c>
      <c r="P97" s="1495">
        <v>1018</v>
      </c>
      <c r="Q97" s="1545"/>
    </row>
    <row r="98" spans="1:17" ht="16.5" customHeight="1">
      <c r="A98" s="2023"/>
      <c r="B98" s="1487" t="s">
        <v>1413</v>
      </c>
      <c r="C98" s="1537" t="s">
        <v>1562</v>
      </c>
      <c r="D98" s="1488" t="s">
        <v>1425</v>
      </c>
      <c r="E98" s="1488" t="s">
        <v>1453</v>
      </c>
      <c r="F98" s="1488" t="s">
        <v>1443</v>
      </c>
      <c r="G98" s="1496">
        <v>3.5</v>
      </c>
      <c r="H98" s="1497">
        <v>4.7</v>
      </c>
      <c r="I98" s="1498">
        <v>5</v>
      </c>
      <c r="J98" s="1499">
        <v>12</v>
      </c>
      <c r="K98" s="1496">
        <v>3</v>
      </c>
      <c r="L98" s="1500">
        <v>6</v>
      </c>
      <c r="M98" s="1494">
        <v>1032</v>
      </c>
      <c r="N98" s="1495">
        <v>1040</v>
      </c>
      <c r="O98" s="1487">
        <v>1004</v>
      </c>
      <c r="P98" s="1495">
        <v>1008</v>
      </c>
      <c r="Q98" s="1545"/>
    </row>
    <row r="99" spans="1:17" ht="16.5" customHeight="1">
      <c r="A99" s="2023"/>
      <c r="B99" s="1487" t="s">
        <v>1413</v>
      </c>
      <c r="C99" s="1537" t="s">
        <v>1563</v>
      </c>
      <c r="D99" s="1488" t="s">
        <v>1483</v>
      </c>
      <c r="E99" s="1488"/>
      <c r="F99" s="1488" t="s">
        <v>1471</v>
      </c>
      <c r="G99" s="1496">
        <v>2.8</v>
      </c>
      <c r="H99" s="1497">
        <v>3.6</v>
      </c>
      <c r="I99" s="1498">
        <v>15</v>
      </c>
      <c r="J99" s="1499">
        <v>20</v>
      </c>
      <c r="K99" s="1496">
        <v>22</v>
      </c>
      <c r="L99" s="1500">
        <v>35</v>
      </c>
      <c r="M99" s="1494">
        <v>1033</v>
      </c>
      <c r="N99" s="1495">
        <v>1038</v>
      </c>
      <c r="O99" s="1487">
        <v>1012</v>
      </c>
      <c r="P99" s="1495">
        <v>1015</v>
      </c>
      <c r="Q99" s="1545"/>
    </row>
    <row r="100" spans="1:17" ht="16.5" customHeight="1">
      <c r="A100" s="2023"/>
      <c r="B100" s="1487" t="s">
        <v>1413</v>
      </c>
      <c r="C100" s="1537" t="s">
        <v>1564</v>
      </c>
      <c r="D100" s="1488" t="s">
        <v>1425</v>
      </c>
      <c r="E100" s="1488" t="s">
        <v>1453</v>
      </c>
      <c r="F100" s="1488" t="s">
        <v>1295</v>
      </c>
      <c r="G100" s="1496">
        <v>2.5</v>
      </c>
      <c r="H100" s="1497">
        <v>3.3</v>
      </c>
      <c r="I100" s="1498">
        <v>20</v>
      </c>
      <c r="J100" s="1499">
        <v>35</v>
      </c>
      <c r="K100" s="1496">
        <v>3</v>
      </c>
      <c r="L100" s="1500">
        <v>6</v>
      </c>
      <c r="M100" s="1494">
        <v>1028</v>
      </c>
      <c r="N100" s="1495">
        <v>1032</v>
      </c>
      <c r="O100" s="1487">
        <v>1006</v>
      </c>
      <c r="P100" s="1495">
        <v>1012</v>
      </c>
      <c r="Q100" s="1545"/>
    </row>
    <row r="101" spans="1:17" ht="16.5" customHeight="1">
      <c r="A101" s="2023"/>
      <c r="B101" s="1487" t="s">
        <v>1413</v>
      </c>
      <c r="C101" s="1537" t="s">
        <v>1565</v>
      </c>
      <c r="D101" s="1488" t="s">
        <v>1435</v>
      </c>
      <c r="E101" s="1488" t="s">
        <v>1435</v>
      </c>
      <c r="F101" s="1488" t="s">
        <v>1417</v>
      </c>
      <c r="G101" s="1496">
        <v>4.5</v>
      </c>
      <c r="H101" s="1497">
        <v>6</v>
      </c>
      <c r="I101" s="1498">
        <v>25</v>
      </c>
      <c r="J101" s="1499">
        <v>40</v>
      </c>
      <c r="K101" s="1496">
        <v>3</v>
      </c>
      <c r="L101" s="1500">
        <v>6</v>
      </c>
      <c r="M101" s="1494">
        <v>1044</v>
      </c>
      <c r="N101" s="1495">
        <v>1060</v>
      </c>
      <c r="O101" s="1487">
        <v>1010</v>
      </c>
      <c r="P101" s="1495">
        <v>1015</v>
      </c>
      <c r="Q101" s="1545"/>
    </row>
    <row r="102" spans="1:17" ht="16.5" customHeight="1">
      <c r="A102" s="2023"/>
      <c r="B102" s="1487" t="s">
        <v>1413</v>
      </c>
      <c r="C102" s="1537" t="s">
        <v>1566</v>
      </c>
      <c r="D102" s="1488" t="s">
        <v>889</v>
      </c>
      <c r="E102" s="1488" t="s">
        <v>1517</v>
      </c>
      <c r="F102" s="1488" t="s">
        <v>1417</v>
      </c>
      <c r="G102" s="1496">
        <v>4.5</v>
      </c>
      <c r="H102" s="1497">
        <v>6</v>
      </c>
      <c r="I102" s="1498">
        <v>20</v>
      </c>
      <c r="J102" s="1499">
        <v>30</v>
      </c>
      <c r="K102" s="1496">
        <v>18</v>
      </c>
      <c r="L102" s="1500">
        <v>30</v>
      </c>
      <c r="M102" s="1494">
        <v>1046</v>
      </c>
      <c r="N102" s="1495">
        <v>1060</v>
      </c>
      <c r="O102" s="1487">
        <v>1010</v>
      </c>
      <c r="P102" s="1495">
        <v>1016</v>
      </c>
      <c r="Q102" s="1545"/>
    </row>
    <row r="103" spans="1:17" ht="16.5" customHeight="1">
      <c r="A103" s="2023"/>
      <c r="B103" s="1487" t="s">
        <v>1413</v>
      </c>
      <c r="C103" s="1537" t="s">
        <v>1567</v>
      </c>
      <c r="D103" s="1488" t="s">
        <v>1425</v>
      </c>
      <c r="E103" s="1488" t="s">
        <v>1425</v>
      </c>
      <c r="F103" s="1488" t="s">
        <v>1443</v>
      </c>
      <c r="G103" s="1496">
        <v>4.5</v>
      </c>
      <c r="H103" s="1497">
        <v>6</v>
      </c>
      <c r="I103" s="1498">
        <v>10</v>
      </c>
      <c r="J103" s="1499">
        <v>20</v>
      </c>
      <c r="K103" s="1496">
        <v>14</v>
      </c>
      <c r="L103" s="1500">
        <v>19</v>
      </c>
      <c r="M103" s="1494">
        <v>1046</v>
      </c>
      <c r="N103" s="1495">
        <v>1056</v>
      </c>
      <c r="O103" s="1487">
        <v>1010</v>
      </c>
      <c r="P103" s="1495">
        <v>1014</v>
      </c>
      <c r="Q103" s="1545"/>
    </row>
    <row r="104" spans="1:17" ht="16.5" customHeight="1">
      <c r="A104" s="2025"/>
      <c r="B104" s="1505" t="s">
        <v>1413</v>
      </c>
      <c r="C104" s="1538" t="s">
        <v>1568</v>
      </c>
      <c r="D104" s="1506" t="s">
        <v>1425</v>
      </c>
      <c r="E104" s="1506" t="s">
        <v>1551</v>
      </c>
      <c r="F104" s="1506" t="s">
        <v>1464</v>
      </c>
      <c r="G104" s="1527">
        <v>7</v>
      </c>
      <c r="H104" s="1528">
        <v>11</v>
      </c>
      <c r="I104" s="1529">
        <v>7</v>
      </c>
      <c r="J104" s="1530">
        <v>15</v>
      </c>
      <c r="K104" s="1527">
        <v>4</v>
      </c>
      <c r="L104" s="1531">
        <v>22</v>
      </c>
      <c r="M104" s="1507">
        <v>1076</v>
      </c>
      <c r="N104" s="1508">
        <v>1120</v>
      </c>
      <c r="O104" s="1505">
        <v>1016</v>
      </c>
      <c r="P104" s="1508">
        <v>1020</v>
      </c>
      <c r="Q104" s="1545"/>
    </row>
    <row r="105" spans="1:17" ht="16.5" customHeight="1">
      <c r="A105" s="2023" t="s">
        <v>1569</v>
      </c>
      <c r="B105" s="1487" t="s">
        <v>1413</v>
      </c>
      <c r="C105" s="1488" t="s">
        <v>1570</v>
      </c>
      <c r="D105" s="5836" t="s">
        <v>1571</v>
      </c>
      <c r="E105" s="5836" t="s">
        <v>1571</v>
      </c>
      <c r="F105" s="5838" t="s">
        <v>1571</v>
      </c>
      <c r="G105" s="5847" t="s">
        <v>1572</v>
      </c>
      <c r="H105" s="5848"/>
      <c r="I105" s="5848"/>
      <c r="J105" s="5848"/>
      <c r="K105" s="5848"/>
      <c r="L105" s="5848"/>
      <c r="M105" s="5848"/>
      <c r="N105" s="5848"/>
      <c r="O105" s="5848"/>
      <c r="P105" s="5849"/>
      <c r="Q105" s="1545"/>
    </row>
    <row r="106" spans="1:17" ht="16.5" customHeight="1">
      <c r="A106" s="2023"/>
      <c r="B106" s="1487" t="s">
        <v>1418</v>
      </c>
      <c r="C106" s="1488" t="s">
        <v>1573</v>
      </c>
      <c r="D106" s="5853"/>
      <c r="E106" s="5853"/>
      <c r="F106" s="5855"/>
      <c r="G106" s="5857"/>
      <c r="H106" s="5858"/>
      <c r="I106" s="5858"/>
      <c r="J106" s="5858"/>
      <c r="K106" s="5858"/>
      <c r="L106" s="5858"/>
      <c r="M106" s="5858"/>
      <c r="N106" s="5858"/>
      <c r="O106" s="5858"/>
      <c r="P106" s="5859"/>
      <c r="Q106" s="1545"/>
    </row>
    <row r="107" spans="1:17" ht="16.5" customHeight="1">
      <c r="A107" s="2023"/>
      <c r="B107" s="1487" t="s">
        <v>1420</v>
      </c>
      <c r="C107" s="1488" t="s">
        <v>1574</v>
      </c>
      <c r="D107" s="5837"/>
      <c r="E107" s="5837"/>
      <c r="F107" s="5839"/>
      <c r="G107" s="5850"/>
      <c r="H107" s="5851"/>
      <c r="I107" s="5851"/>
      <c r="J107" s="5851"/>
      <c r="K107" s="5851"/>
      <c r="L107" s="5851"/>
      <c r="M107" s="5851"/>
      <c r="N107" s="5851"/>
      <c r="O107" s="5851"/>
      <c r="P107" s="5852"/>
      <c r="Q107" s="1545"/>
    </row>
    <row r="108" spans="1:17" ht="16.5" customHeight="1">
      <c r="A108" s="2024" t="s">
        <v>1575</v>
      </c>
      <c r="B108" s="1501" t="s">
        <v>1413</v>
      </c>
      <c r="C108" s="1502" t="s">
        <v>1576</v>
      </c>
      <c r="D108" s="5836" t="s">
        <v>1571</v>
      </c>
      <c r="E108" s="5836" t="s">
        <v>1571</v>
      </c>
      <c r="F108" s="5838" t="s">
        <v>1571</v>
      </c>
      <c r="G108" s="5847" t="s">
        <v>1577</v>
      </c>
      <c r="H108" s="5848"/>
      <c r="I108" s="5848"/>
      <c r="J108" s="5848"/>
      <c r="K108" s="5848"/>
      <c r="L108" s="5848"/>
      <c r="M108" s="5848"/>
      <c r="N108" s="5848"/>
      <c r="O108" s="5848"/>
      <c r="P108" s="5849"/>
      <c r="Q108" s="1545"/>
    </row>
    <row r="109" spans="1:17" ht="16.5" customHeight="1">
      <c r="A109" s="2023"/>
      <c r="B109" s="1487" t="s">
        <v>1418</v>
      </c>
      <c r="C109" s="1488" t="s">
        <v>1578</v>
      </c>
      <c r="D109" s="5853"/>
      <c r="E109" s="5853"/>
      <c r="F109" s="5855"/>
      <c r="G109" s="5857"/>
      <c r="H109" s="5858"/>
      <c r="I109" s="5858"/>
      <c r="J109" s="5858"/>
      <c r="K109" s="5858"/>
      <c r="L109" s="5858"/>
      <c r="M109" s="5858"/>
      <c r="N109" s="5858"/>
      <c r="O109" s="5858"/>
      <c r="P109" s="5859"/>
      <c r="Q109" s="1545"/>
    </row>
    <row r="110" spans="1:17" ht="16.5" customHeight="1">
      <c r="A110" s="2025"/>
      <c r="B110" s="1505" t="s">
        <v>1420</v>
      </c>
      <c r="C110" s="1506" t="s">
        <v>1579</v>
      </c>
      <c r="D110" s="5837"/>
      <c r="E110" s="5837"/>
      <c r="F110" s="5839"/>
      <c r="G110" s="5850"/>
      <c r="H110" s="5851"/>
      <c r="I110" s="5851"/>
      <c r="J110" s="5851"/>
      <c r="K110" s="5851"/>
      <c r="L110" s="5851"/>
      <c r="M110" s="5851"/>
      <c r="N110" s="5851"/>
      <c r="O110" s="5851"/>
      <c r="P110" s="5852"/>
      <c r="Q110" s="1545"/>
    </row>
    <row r="111" spans="1:17" ht="16.5" customHeight="1">
      <c r="A111" s="2023" t="s">
        <v>1580</v>
      </c>
      <c r="B111" s="1487" t="s">
        <v>1413</v>
      </c>
      <c r="C111" s="1488" t="s">
        <v>1581</v>
      </c>
      <c r="D111" s="5836" t="s">
        <v>1571</v>
      </c>
      <c r="E111" s="5836" t="s">
        <v>1571</v>
      </c>
      <c r="F111" s="5838" t="s">
        <v>1571</v>
      </c>
      <c r="G111" s="5857" t="s">
        <v>1582</v>
      </c>
      <c r="H111" s="5858"/>
      <c r="I111" s="5858"/>
      <c r="J111" s="5858"/>
      <c r="K111" s="5858"/>
      <c r="L111" s="5858"/>
      <c r="M111" s="5858"/>
      <c r="N111" s="5858"/>
      <c r="O111" s="5858"/>
      <c r="P111" s="5859"/>
      <c r="Q111" s="1545"/>
    </row>
    <row r="112" spans="1:17" ht="16.5" customHeight="1">
      <c r="A112" s="2023"/>
      <c r="B112" s="1487" t="s">
        <v>1418</v>
      </c>
      <c r="C112" s="1488" t="s">
        <v>1583</v>
      </c>
      <c r="D112" s="5853"/>
      <c r="E112" s="5853"/>
      <c r="F112" s="5855"/>
      <c r="G112" s="5857" t="s">
        <v>1584</v>
      </c>
      <c r="H112" s="5858"/>
      <c r="I112" s="5858"/>
      <c r="J112" s="5858"/>
      <c r="K112" s="5858"/>
      <c r="L112" s="5858"/>
      <c r="M112" s="5858"/>
      <c r="N112" s="5858"/>
      <c r="O112" s="5858"/>
      <c r="P112" s="5859"/>
      <c r="Q112" s="1545"/>
    </row>
    <row r="113" spans="1:17" ht="16.5" customHeight="1">
      <c r="A113" s="2023"/>
      <c r="B113" s="1487" t="s">
        <v>1420</v>
      </c>
      <c r="C113" s="1488" t="s">
        <v>1585</v>
      </c>
      <c r="D113" s="5837"/>
      <c r="E113" s="5837"/>
      <c r="F113" s="5839"/>
      <c r="G113" s="5857" t="s">
        <v>1586</v>
      </c>
      <c r="H113" s="5858"/>
      <c r="I113" s="5858"/>
      <c r="J113" s="5858"/>
      <c r="K113" s="5858"/>
      <c r="L113" s="5858"/>
      <c r="M113" s="5858"/>
      <c r="N113" s="5858"/>
      <c r="O113" s="5858"/>
      <c r="P113" s="5859"/>
      <c r="Q113" s="1545"/>
    </row>
    <row r="114" spans="1:17" ht="16.5" customHeight="1">
      <c r="A114" s="2024" t="s">
        <v>1587</v>
      </c>
      <c r="B114" s="1501" t="s">
        <v>1413</v>
      </c>
      <c r="C114" s="1502" t="s">
        <v>1588</v>
      </c>
      <c r="D114" s="5836" t="s">
        <v>1571</v>
      </c>
      <c r="E114" s="5836" t="s">
        <v>1571</v>
      </c>
      <c r="F114" s="5838" t="s">
        <v>1571</v>
      </c>
      <c r="G114" s="5847" t="s">
        <v>1582</v>
      </c>
      <c r="H114" s="5848"/>
      <c r="I114" s="5848"/>
      <c r="J114" s="5848"/>
      <c r="K114" s="5848"/>
      <c r="L114" s="5848"/>
      <c r="M114" s="5848"/>
      <c r="N114" s="5848"/>
      <c r="O114" s="5848"/>
      <c r="P114" s="5849"/>
      <c r="Q114" s="1545"/>
    </row>
    <row r="115" spans="1:17" ht="16.5" customHeight="1">
      <c r="A115" s="2025"/>
      <c r="B115" s="1505" t="s">
        <v>1418</v>
      </c>
      <c r="C115" s="1506" t="s">
        <v>1589</v>
      </c>
      <c r="D115" s="5837"/>
      <c r="E115" s="5837"/>
      <c r="F115" s="5839"/>
      <c r="G115" s="5850"/>
      <c r="H115" s="5851"/>
      <c r="I115" s="5851"/>
      <c r="J115" s="5851"/>
      <c r="K115" s="5851"/>
      <c r="L115" s="5851"/>
      <c r="M115" s="5851"/>
      <c r="N115" s="5851"/>
      <c r="O115" s="5851"/>
      <c r="P115" s="5852"/>
      <c r="Q115" s="1545"/>
    </row>
    <row r="116" spans="1:17" ht="16.5" customHeight="1">
      <c r="A116" s="2023" t="s">
        <v>1590</v>
      </c>
      <c r="B116" s="1487" t="s">
        <v>1413</v>
      </c>
      <c r="C116" s="1488" t="s">
        <v>1591</v>
      </c>
      <c r="D116" s="5836" t="s">
        <v>1571</v>
      </c>
      <c r="E116" s="5836" t="s">
        <v>1571</v>
      </c>
      <c r="F116" s="5838" t="s">
        <v>1571</v>
      </c>
      <c r="G116" s="5847" t="s">
        <v>1592</v>
      </c>
      <c r="H116" s="5848"/>
      <c r="I116" s="5848"/>
      <c r="J116" s="5848"/>
      <c r="K116" s="5848"/>
      <c r="L116" s="5848"/>
      <c r="M116" s="5848"/>
      <c r="N116" s="5848"/>
      <c r="O116" s="5848"/>
      <c r="P116" s="5849"/>
      <c r="Q116" s="1545"/>
    </row>
    <row r="117" spans="1:17" ht="16.5" customHeight="1">
      <c r="A117" s="2023"/>
      <c r="B117" s="1487" t="s">
        <v>1418</v>
      </c>
      <c r="C117" s="1488" t="s">
        <v>1593</v>
      </c>
      <c r="D117" s="5837"/>
      <c r="E117" s="5837"/>
      <c r="F117" s="5839"/>
      <c r="G117" s="5850"/>
      <c r="H117" s="5851"/>
      <c r="I117" s="5851"/>
      <c r="J117" s="5851"/>
      <c r="K117" s="5851"/>
      <c r="L117" s="5851"/>
      <c r="M117" s="5851"/>
      <c r="N117" s="5851"/>
      <c r="O117" s="5851"/>
      <c r="P117" s="5852"/>
      <c r="Q117" s="1545"/>
    </row>
    <row r="118" spans="1:17" ht="16.5" customHeight="1">
      <c r="A118" s="2024" t="s">
        <v>1594</v>
      </c>
      <c r="B118" s="1501" t="s">
        <v>1413</v>
      </c>
      <c r="C118" s="1502" t="s">
        <v>1595</v>
      </c>
      <c r="D118" s="5836" t="s">
        <v>1571</v>
      </c>
      <c r="E118" s="5836" t="s">
        <v>1571</v>
      </c>
      <c r="F118" s="5838" t="s">
        <v>1571</v>
      </c>
      <c r="G118" s="5847" t="s">
        <v>1596</v>
      </c>
      <c r="H118" s="5848"/>
      <c r="I118" s="5848"/>
      <c r="J118" s="5848"/>
      <c r="K118" s="5848"/>
      <c r="L118" s="5848"/>
      <c r="M118" s="5848"/>
      <c r="N118" s="5848"/>
      <c r="O118" s="5848"/>
      <c r="P118" s="5849"/>
      <c r="Q118" s="1545"/>
    </row>
    <row r="119" spans="1:17" ht="16.5" customHeight="1">
      <c r="A119" s="2025"/>
      <c r="B119" s="1505" t="s">
        <v>1418</v>
      </c>
      <c r="C119" s="1506" t="s">
        <v>1597</v>
      </c>
      <c r="D119" s="5837"/>
      <c r="E119" s="5837"/>
      <c r="F119" s="5839"/>
      <c r="G119" s="5850"/>
      <c r="H119" s="5851"/>
      <c r="I119" s="5851"/>
      <c r="J119" s="5851"/>
      <c r="K119" s="5851"/>
      <c r="L119" s="5851"/>
      <c r="M119" s="5851"/>
      <c r="N119" s="5851"/>
      <c r="O119" s="5851"/>
      <c r="P119" s="5852"/>
      <c r="Q119" s="1545"/>
    </row>
    <row r="120" spans="1:17" ht="16.5" customHeight="1">
      <c r="A120" s="2023" t="s">
        <v>1598</v>
      </c>
      <c r="B120" s="1501" t="s">
        <v>1413</v>
      </c>
      <c r="C120" s="1502" t="s">
        <v>1599</v>
      </c>
      <c r="D120" s="5836" t="s">
        <v>1571</v>
      </c>
      <c r="E120" s="5836" t="s">
        <v>1571</v>
      </c>
      <c r="F120" s="5838" t="s">
        <v>1571</v>
      </c>
      <c r="G120" s="5847" t="s">
        <v>1600</v>
      </c>
      <c r="H120" s="5848"/>
      <c r="I120" s="5848"/>
      <c r="J120" s="5848"/>
      <c r="K120" s="5848"/>
      <c r="L120" s="5848"/>
      <c r="M120" s="5848"/>
      <c r="N120" s="5848"/>
      <c r="O120" s="5848"/>
      <c r="P120" s="5849"/>
      <c r="Q120" s="1545"/>
    </row>
    <row r="121" spans="1:17" ht="16.5" customHeight="1">
      <c r="A121" s="2023"/>
      <c r="B121" s="1487" t="s">
        <v>1418</v>
      </c>
      <c r="C121" s="1488" t="s">
        <v>1601</v>
      </c>
      <c r="D121" s="5853"/>
      <c r="E121" s="5853"/>
      <c r="F121" s="5855"/>
      <c r="G121" s="5857"/>
      <c r="H121" s="5858"/>
      <c r="I121" s="5858"/>
      <c r="J121" s="5858"/>
      <c r="K121" s="5858"/>
      <c r="L121" s="5858"/>
      <c r="M121" s="5858"/>
      <c r="N121" s="5858"/>
      <c r="O121" s="5858"/>
      <c r="P121" s="5859"/>
      <c r="Q121" s="1545"/>
    </row>
    <row r="122" spans="1:17" ht="16.5" customHeight="1">
      <c r="A122" s="2027"/>
      <c r="B122" s="1540" t="s">
        <v>1420</v>
      </c>
      <c r="C122" s="1541" t="s">
        <v>1602</v>
      </c>
      <c r="D122" s="5854"/>
      <c r="E122" s="5854"/>
      <c r="F122" s="5856"/>
      <c r="G122" s="5860"/>
      <c r="H122" s="5861"/>
      <c r="I122" s="5861"/>
      <c r="J122" s="5861"/>
      <c r="K122" s="5861"/>
      <c r="L122" s="5861"/>
      <c r="M122" s="5861"/>
      <c r="N122" s="5861"/>
      <c r="O122" s="5861"/>
      <c r="P122" s="5862"/>
      <c r="Q122" s="1545"/>
    </row>
    <row r="123" spans="1:17" ht="16.5" customHeight="1">
      <c r="A123" s="1542"/>
      <c r="B123" s="1542"/>
      <c r="C123" s="1347"/>
      <c r="D123" s="1347"/>
      <c r="E123" s="1347"/>
      <c r="F123" s="1347"/>
      <c r="G123" s="1347"/>
      <c r="H123" s="1347"/>
      <c r="I123" s="1347"/>
      <c r="J123" s="1347"/>
      <c r="K123" s="1243"/>
      <c r="L123" s="1347"/>
      <c r="M123" s="1347"/>
      <c r="N123" s="1347"/>
      <c r="O123" s="1347"/>
      <c r="P123" s="1347"/>
      <c r="Q123" s="1545"/>
    </row>
    <row r="124" spans="1:17" ht="16.5" customHeight="1">
      <c r="A124" s="5840" t="s">
        <v>1952</v>
      </c>
      <c r="B124" s="5840"/>
      <c r="C124" s="5840"/>
      <c r="D124" s="5840"/>
      <c r="E124" s="5840"/>
      <c r="F124" s="5840"/>
      <c r="G124" s="5840"/>
      <c r="H124" s="1347"/>
      <c r="I124" s="1347"/>
      <c r="J124" s="1347"/>
      <c r="K124" s="1243"/>
      <c r="L124" s="1347"/>
      <c r="M124" s="1347"/>
      <c r="N124" s="1347"/>
      <c r="O124" s="1347"/>
      <c r="P124" s="1347"/>
      <c r="Q124" s="1545"/>
    </row>
    <row r="125" spans="1:17" ht="18.75" customHeight="1">
      <c r="A125" s="1543"/>
      <c r="B125" s="1543"/>
      <c r="C125" s="1543"/>
      <c r="D125" s="1543"/>
      <c r="E125" s="1544"/>
      <c r="F125" s="1544"/>
      <c r="G125" s="5842" t="s">
        <v>1603</v>
      </c>
      <c r="H125" s="5842"/>
      <c r="I125" s="5842"/>
      <c r="J125" s="5842"/>
      <c r="K125" s="5842"/>
      <c r="L125" s="5842"/>
      <c r="M125" s="5842"/>
      <c r="N125" s="5842"/>
      <c r="O125" s="5842"/>
      <c r="P125" s="1347"/>
      <c r="Q125" s="1545"/>
    </row>
    <row r="126" spans="1:17" ht="16.5" customHeight="1">
      <c r="A126" s="5843" t="s">
        <v>1604</v>
      </c>
      <c r="B126" s="5843"/>
      <c r="C126" s="5843"/>
      <c r="D126" s="1162"/>
      <c r="E126" s="530"/>
      <c r="F126" s="530"/>
      <c r="G126" s="530"/>
      <c r="H126" s="5844"/>
      <c r="I126" s="5844"/>
      <c r="J126" s="5844"/>
      <c r="K126" s="1546"/>
      <c r="L126" s="1547"/>
      <c r="M126" s="1162"/>
      <c r="N126" s="1162"/>
      <c r="O126" s="1548"/>
      <c r="P126" s="1347"/>
      <c r="Q126" s="1545"/>
    </row>
    <row r="127" spans="1:17" ht="16.5" customHeight="1">
      <c r="A127" s="5843"/>
      <c r="B127" s="5843"/>
      <c r="C127" s="5843"/>
      <c r="D127" s="1162"/>
      <c r="E127" s="530"/>
      <c r="F127" s="530"/>
      <c r="G127" s="5845" t="s">
        <v>1605</v>
      </c>
      <c r="H127" s="5845"/>
      <c r="I127" s="1879">
        <v>1039</v>
      </c>
      <c r="J127" s="5846" t="str">
        <f>"(or "&amp;I127-1000&amp;" Brewers degrees) &amp; a bitterness of"</f>
        <v>(or 39 Brewers degrees) &amp; a bitterness of</v>
      </c>
      <c r="K127" s="5846"/>
      <c r="L127" s="5846"/>
      <c r="M127" s="1879">
        <v>25</v>
      </c>
      <c r="N127" s="1880" t="s">
        <v>229</v>
      </c>
      <c r="O127" s="1548"/>
      <c r="P127" s="1347"/>
      <c r="Q127" s="1545"/>
    </row>
    <row r="128" spans="1:17" ht="16.5" customHeight="1">
      <c r="A128" s="1347"/>
      <c r="B128" s="1347"/>
      <c r="C128" s="1162"/>
      <c r="D128" s="1549"/>
      <c r="E128" s="1549"/>
      <c r="F128" s="1549"/>
      <c r="G128" s="5841" t="str">
        <f>"The BU ̸ GU Ratio = "&amp;FIXED(M127/(I127-1000))&amp;", which is classed as "&amp;IF(M127/(I127-1000+0.001)&gt;0.81, "`Too Hoppy?`",IF(M127/(I127-1000)&gt;0.65,"`Very Hoppy`",IF(M127/(I127-1000)&gt;0.55,"`Slightly Hoppy`",IF(M127/(I127-1000)&gt;0.45,"`Balanced`",IF(M127/(I127-1000)&gt;0.35,"`Slightly Malty`",IF(M127/(I127-1000)&gt;0.25,"`Very Malty`",IF((M127+0.001)/(I127-1000)&gt;0,"`Too Malty?`")))))))&amp;"."</f>
        <v>The BU ̸ GU Ratio = 0.64, which is classed as `Slightly Hoppy`.</v>
      </c>
      <c r="H128" s="5841"/>
      <c r="I128" s="5841"/>
      <c r="J128" s="5841"/>
      <c r="K128" s="5841"/>
      <c r="L128" s="5841"/>
      <c r="M128" s="1881"/>
      <c r="N128" s="1882"/>
      <c r="O128" s="1548"/>
      <c r="P128" s="1550"/>
      <c r="Q128" s="1545"/>
    </row>
    <row r="129" spans="1:17" ht="16.5" customHeight="1">
      <c r="A129" s="1162"/>
      <c r="B129" s="1162"/>
      <c r="C129" s="1162"/>
      <c r="D129" s="1162"/>
      <c r="E129" s="530"/>
      <c r="F129" s="530"/>
      <c r="G129" s="530"/>
      <c r="H129" s="514"/>
      <c r="I129" s="1353"/>
      <c r="J129" s="1353"/>
      <c r="K129" s="1483"/>
      <c r="L129" s="3615" t="s">
        <v>1906</v>
      </c>
      <c r="M129" s="1881"/>
      <c r="N129" s="1551"/>
      <c r="O129" s="1548"/>
      <c r="P129" s="1550"/>
      <c r="Q129" s="1545"/>
    </row>
    <row r="130" spans="1:17" ht="16.5" customHeight="1">
      <c r="A130" s="1162"/>
      <c r="B130" s="1162"/>
      <c r="C130" s="1162"/>
      <c r="D130" s="1162"/>
      <c r="E130" s="530"/>
      <c r="F130" s="530"/>
      <c r="G130" s="530"/>
      <c r="H130" s="514"/>
      <c r="I130" s="1353"/>
      <c r="J130" s="1353"/>
      <c r="K130" s="3613"/>
      <c r="L130" s="3613"/>
      <c r="M130" s="1881"/>
      <c r="N130" s="1551"/>
      <c r="O130" s="1548"/>
      <c r="P130" s="1550"/>
      <c r="Q130" s="1545"/>
    </row>
    <row r="131" spans="1:17" ht="16.5" customHeight="1">
      <c r="A131" s="1162"/>
      <c r="B131" s="1162"/>
      <c r="C131" s="1162"/>
      <c r="D131" s="1162"/>
      <c r="E131" s="530"/>
      <c r="F131" s="530"/>
      <c r="G131" s="530"/>
      <c r="H131" s="514"/>
      <c r="I131" s="1353"/>
      <c r="J131" s="1353"/>
      <c r="K131" s="3613"/>
      <c r="L131" s="3613"/>
      <c r="M131" s="1881"/>
      <c r="N131" s="1551"/>
      <c r="O131" s="1548"/>
      <c r="P131" s="1550"/>
      <c r="Q131" s="1545"/>
    </row>
    <row r="132" spans="1:17" ht="16.5" customHeight="1">
      <c r="A132" s="1162"/>
      <c r="B132" s="1162"/>
      <c r="C132" s="1162"/>
      <c r="D132" s="1162"/>
      <c r="E132" s="530"/>
      <c r="F132" s="530"/>
      <c r="G132" s="530"/>
      <c r="H132" s="514"/>
      <c r="I132" s="1353"/>
      <c r="J132" s="1353"/>
      <c r="K132" s="3613"/>
      <c r="L132" s="3613"/>
      <c r="M132" s="1881"/>
      <c r="N132" s="1551"/>
      <c r="O132" s="1548"/>
      <c r="P132" s="1550"/>
      <c r="Q132" s="1545"/>
    </row>
    <row r="133" spans="1:17" ht="16.5" customHeight="1">
      <c r="A133" s="1162"/>
      <c r="B133" s="1162"/>
      <c r="C133" s="1162"/>
      <c r="D133" s="1162"/>
      <c r="E133" s="530"/>
      <c r="F133" s="530"/>
      <c r="G133" s="530"/>
      <c r="H133" s="514"/>
      <c r="I133" s="1353"/>
      <c r="J133" s="1353"/>
      <c r="K133" s="3613"/>
      <c r="L133" s="3613"/>
      <c r="M133" s="1881"/>
      <c r="N133" s="1551"/>
      <c r="O133" s="1548"/>
      <c r="P133" s="1550"/>
      <c r="Q133" s="1545"/>
    </row>
    <row r="134" spans="1:17" ht="16.5" customHeight="1">
      <c r="A134" s="3616" t="s">
        <v>1907</v>
      </c>
      <c r="B134" s="1162"/>
      <c r="C134" s="1162"/>
      <c r="D134" s="1162"/>
      <c r="E134" s="530"/>
      <c r="F134" s="530"/>
      <c r="G134" s="530"/>
      <c r="H134" s="514"/>
      <c r="I134" s="1353"/>
      <c r="J134" s="1353"/>
      <c r="K134" s="1551"/>
      <c r="L134" s="1552"/>
      <c r="M134" s="1881"/>
      <c r="N134" s="1551"/>
      <c r="O134" s="1548"/>
      <c r="P134" s="1550"/>
      <c r="Q134" s="1545"/>
    </row>
    <row r="135" spans="1:17" ht="16.5" customHeight="1">
      <c r="A135" s="1553"/>
      <c r="B135" s="1554"/>
      <c r="C135" s="1554"/>
      <c r="D135" s="1162"/>
      <c r="E135" s="1162"/>
      <c r="F135" s="1182"/>
      <c r="G135" s="530"/>
      <c r="H135" s="514"/>
      <c r="I135" s="1353"/>
      <c r="J135" s="1353"/>
      <c r="K135" s="1551"/>
      <c r="L135" s="1552"/>
      <c r="M135" s="1881"/>
      <c r="N135" s="1551"/>
      <c r="O135" s="1548"/>
      <c r="P135" s="1550"/>
      <c r="Q135" s="1545"/>
    </row>
    <row r="136" spans="1:17" ht="16.5" customHeight="1">
      <c r="A136" s="3614" t="s">
        <v>222</v>
      </c>
      <c r="B136" s="1554"/>
      <c r="C136" s="1554"/>
      <c r="D136" s="1162"/>
      <c r="E136" s="1162"/>
      <c r="F136" s="530"/>
      <c r="G136" s="530"/>
      <c r="H136" s="514"/>
      <c r="I136" s="1353"/>
      <c r="J136" s="1353"/>
      <c r="K136" s="1551"/>
      <c r="L136" s="1552"/>
      <c r="M136" s="1881"/>
      <c r="N136" s="1551"/>
      <c r="O136" s="1548"/>
      <c r="P136" s="1550"/>
      <c r="Q136" s="1545"/>
    </row>
    <row r="137" spans="1:17" ht="16.5" customHeight="1">
      <c r="A137" s="5827"/>
      <c r="B137" s="5828"/>
      <c r="C137" s="5828"/>
      <c r="D137" s="5828"/>
      <c r="E137" s="5828"/>
      <c r="F137" s="5829"/>
      <c r="G137" s="530"/>
      <c r="H137" s="514"/>
      <c r="I137" s="1353"/>
      <c r="J137" s="1353"/>
      <c r="K137" s="1551"/>
      <c r="L137" s="1552"/>
      <c r="M137" s="1881"/>
      <c r="N137" s="1551"/>
      <c r="O137" s="1548"/>
      <c r="P137" s="1550"/>
      <c r="Q137" s="1545"/>
    </row>
    <row r="138" spans="1:17" ht="16.5" customHeight="1">
      <c r="A138" s="5830"/>
      <c r="B138" s="5831"/>
      <c r="C138" s="5831"/>
      <c r="D138" s="5831"/>
      <c r="E138" s="5831"/>
      <c r="F138" s="5832"/>
      <c r="G138" s="530"/>
      <c r="H138" s="514"/>
      <c r="I138" s="1353"/>
      <c r="J138" s="1353"/>
      <c r="K138" s="1551"/>
      <c r="L138" s="1552"/>
      <c r="M138" s="1881"/>
      <c r="N138" s="1548"/>
      <c r="O138" s="1548"/>
      <c r="P138" s="1550"/>
      <c r="Q138" s="1545"/>
    </row>
    <row r="139" spans="1:17" ht="16.5" customHeight="1">
      <c r="A139" s="5830"/>
      <c r="B139" s="5831"/>
      <c r="C139" s="5831"/>
      <c r="D139" s="5831"/>
      <c r="E139" s="5831"/>
      <c r="F139" s="5832"/>
      <c r="G139" s="530"/>
      <c r="H139" s="514"/>
      <c r="I139" s="1353"/>
      <c r="J139" s="1353"/>
      <c r="K139" s="1551"/>
      <c r="L139" s="1552"/>
      <c r="M139" s="514"/>
      <c r="N139" s="363"/>
      <c r="O139" s="1548"/>
      <c r="P139" s="1162"/>
      <c r="Q139" s="1545"/>
    </row>
    <row r="140" spans="1:17" ht="16.5" customHeight="1">
      <c r="A140" s="5830"/>
      <c r="B140" s="5831"/>
      <c r="C140" s="5831"/>
      <c r="D140" s="5831"/>
      <c r="E140" s="5831"/>
      <c r="F140" s="5832"/>
      <c r="G140" s="530"/>
      <c r="H140" s="514"/>
      <c r="I140" s="1353"/>
      <c r="J140" s="1353"/>
      <c r="K140" s="1551"/>
      <c r="L140" s="1552"/>
      <c r="M140" s="514"/>
      <c r="N140" s="363"/>
      <c r="O140" s="1555"/>
      <c r="P140" s="1162"/>
      <c r="Q140" s="1545"/>
    </row>
    <row r="141" spans="1:17" ht="16.5" customHeight="1">
      <c r="A141" s="5830"/>
      <c r="B141" s="5831"/>
      <c r="C141" s="5831"/>
      <c r="D141" s="5831"/>
      <c r="E141" s="5831"/>
      <c r="F141" s="5832"/>
      <c r="G141" s="530"/>
      <c r="H141" s="514"/>
      <c r="I141" s="1353"/>
      <c r="J141" s="1353"/>
      <c r="K141" s="1551"/>
      <c r="L141" s="1552"/>
      <c r="M141" s="514"/>
      <c r="N141" s="363"/>
      <c r="O141" s="1555"/>
      <c r="P141" s="1162"/>
      <c r="Q141" s="1545"/>
    </row>
    <row r="142" spans="1:17" ht="16.5" customHeight="1">
      <c r="A142" s="5830"/>
      <c r="B142" s="5831"/>
      <c r="C142" s="5831"/>
      <c r="D142" s="5831"/>
      <c r="E142" s="5831"/>
      <c r="F142" s="5832"/>
      <c r="G142" s="530"/>
      <c r="H142" s="514"/>
      <c r="I142" s="1353"/>
      <c r="J142" s="1353"/>
      <c r="K142" s="1551"/>
      <c r="L142" s="1552"/>
      <c r="M142" s="514"/>
      <c r="N142" s="363"/>
      <c r="O142" s="1555"/>
      <c r="P142" s="1162"/>
      <c r="Q142" s="1545"/>
    </row>
    <row r="143" spans="1:17" ht="16.5" customHeight="1">
      <c r="A143" s="5833"/>
      <c r="B143" s="5834"/>
      <c r="C143" s="5834"/>
      <c r="D143" s="5834"/>
      <c r="E143" s="5834"/>
      <c r="F143" s="5835"/>
      <c r="G143" s="530"/>
      <c r="H143" s="514"/>
      <c r="I143" s="1353"/>
      <c r="J143" s="1353"/>
      <c r="K143" s="1551"/>
      <c r="L143" s="1552"/>
      <c r="M143" s="514"/>
      <c r="N143" s="363"/>
      <c r="O143" s="1555"/>
      <c r="P143" s="1162"/>
      <c r="Q143" s="1545"/>
    </row>
    <row r="144" spans="1:17" ht="16.5" customHeight="1">
      <c r="A144" s="1556" t="s">
        <v>1606</v>
      </c>
      <c r="B144" s="5825" t="s">
        <v>1607</v>
      </c>
      <c r="C144" s="5825"/>
      <c r="D144" s="1557"/>
      <c r="E144" s="1557"/>
      <c r="F144" s="1557"/>
      <c r="G144" s="1557"/>
      <c r="H144" s="1557"/>
      <c r="I144" s="1558"/>
      <c r="J144" s="1559"/>
      <c r="K144" s="1560"/>
      <c r="L144" s="1552"/>
      <c r="M144" s="514"/>
      <c r="N144" s="362"/>
      <c r="O144" s="1555"/>
      <c r="P144" s="1162"/>
      <c r="Q144" s="1545"/>
    </row>
    <row r="145" spans="1:17" ht="16.5" customHeight="1">
      <c r="A145" s="5826" t="s">
        <v>1608</v>
      </c>
      <c r="B145" s="5826"/>
      <c r="C145" s="5826"/>
      <c r="D145" s="5826"/>
      <c r="E145" s="1162"/>
      <c r="F145" s="514"/>
      <c r="G145" s="514"/>
      <c r="H145" s="514"/>
      <c r="I145" s="1561"/>
      <c r="J145" s="514"/>
      <c r="K145" s="1562"/>
      <c r="L145" s="1162"/>
      <c r="M145" s="514"/>
      <c r="N145" s="362"/>
      <c r="O145" s="1555"/>
      <c r="P145" s="1162"/>
      <c r="Q145" s="1545"/>
    </row>
    <row r="146" spans="1:17">
      <c r="A146" s="362"/>
      <c r="B146" s="362"/>
      <c r="C146" s="362"/>
      <c r="D146" s="362"/>
      <c r="E146" s="362"/>
      <c r="F146" s="362"/>
      <c r="G146" s="362"/>
      <c r="H146" s="362"/>
      <c r="I146" s="362"/>
      <c r="J146" s="362"/>
      <c r="K146" s="362"/>
      <c r="L146" s="362"/>
      <c r="M146" s="362"/>
      <c r="N146" s="362"/>
      <c r="O146" s="362"/>
      <c r="P146" s="362"/>
      <c r="Q146" s="1545"/>
    </row>
  </sheetData>
  <sheetProtection password="FA80" sheet="1" objects="1" scenarios="1"/>
  <mergeCells count="49">
    <mergeCell ref="D105:D107"/>
    <mergeCell ref="E105:E107"/>
    <mergeCell ref="F105:F107"/>
    <mergeCell ref="G105:P107"/>
    <mergeCell ref="D108:D110"/>
    <mergeCell ref="E108:E110"/>
    <mergeCell ref="F108:F110"/>
    <mergeCell ref="G108:P110"/>
    <mergeCell ref="E1:I1"/>
    <mergeCell ref="K1:L1"/>
    <mergeCell ref="O1:P1"/>
    <mergeCell ref="O2:P2"/>
    <mergeCell ref="A3:D3"/>
    <mergeCell ref="I3:J3"/>
    <mergeCell ref="K3:L3"/>
    <mergeCell ref="M3:N3"/>
    <mergeCell ref="O3:P3"/>
    <mergeCell ref="D111:D113"/>
    <mergeCell ref="E111:E113"/>
    <mergeCell ref="F111:F113"/>
    <mergeCell ref="G111:P111"/>
    <mergeCell ref="G112:P112"/>
    <mergeCell ref="G113:P113"/>
    <mergeCell ref="F120:F122"/>
    <mergeCell ref="G120:P122"/>
    <mergeCell ref="D114:D115"/>
    <mergeCell ref="E114:E115"/>
    <mergeCell ref="F114:F115"/>
    <mergeCell ref="G114:P115"/>
    <mergeCell ref="D116:D117"/>
    <mergeCell ref="E116:E117"/>
    <mergeCell ref="F116:F117"/>
    <mergeCell ref="G116:P117"/>
    <mergeCell ref="B144:C144"/>
    <mergeCell ref="A145:D145"/>
    <mergeCell ref="A137:F143"/>
    <mergeCell ref="D118:D119"/>
    <mergeCell ref="E118:E119"/>
    <mergeCell ref="F118:F119"/>
    <mergeCell ref="A124:G124"/>
    <mergeCell ref="G128:L128"/>
    <mergeCell ref="G125:O125"/>
    <mergeCell ref="A126:C127"/>
    <mergeCell ref="H126:J126"/>
    <mergeCell ref="G127:H127"/>
    <mergeCell ref="J127:L127"/>
    <mergeCell ref="G118:P119"/>
    <mergeCell ref="D120:D122"/>
    <mergeCell ref="E120:E122"/>
  </mergeCells>
  <conditionalFormatting sqref="K5:L104">
    <cfRule type="colorScale" priority="3">
      <colorScale>
        <cfvo type="min" val="0"/>
        <cfvo type="max" val="0"/>
        <color rgb="FFFCFCFF"/>
        <color rgb="FFF8696B"/>
      </colorScale>
    </cfRule>
  </conditionalFormatting>
  <conditionalFormatting sqref="I5:J104">
    <cfRule type="colorScale" priority="2">
      <colorScale>
        <cfvo type="min" val="0"/>
        <cfvo type="max" val="0"/>
        <color rgb="FFFCFCFF"/>
        <color rgb="FFF8696B"/>
      </colorScale>
    </cfRule>
  </conditionalFormatting>
  <conditionalFormatting sqref="G5:H104">
    <cfRule type="colorScale" priority="1">
      <colorScale>
        <cfvo type="min" val="0"/>
        <cfvo type="max" val="0"/>
        <color rgb="FFFCFCFF"/>
        <color rgb="FFF8696B"/>
      </colorScale>
    </cfRule>
  </conditionalFormatting>
  <hyperlinks>
    <hyperlink ref="O2" r:id="rId1"/>
    <hyperlink ref="B144" r:id="rId2"/>
  </hyperlinks>
  <printOptions horizontalCentered="1"/>
  <pageMargins left="0.43307086614173229" right="0.43307086614173229" top="0.31496062992125984" bottom="0.70866141732283472" header="0.23622047244094491" footer="0.62992125984251968"/>
  <pageSetup paperSize="9" scale="34" orientation="portrait" horizontalDpi="4294967293" verticalDpi="300" r:id="rId3"/>
  <drawing r:id="rId4"/>
</worksheet>
</file>

<file path=xl/worksheets/sheet2.xml><?xml version="1.0" encoding="utf-8"?>
<worksheet xmlns="http://schemas.openxmlformats.org/spreadsheetml/2006/main" xmlns:r="http://schemas.openxmlformats.org/officeDocument/2006/relationships">
  <sheetPr>
    <tabColor theme="7" tint="-0.249977111117893"/>
  </sheetPr>
  <dimension ref="A1:T252"/>
  <sheetViews>
    <sheetView topLeftCell="A21" zoomScale="77" zoomScaleNormal="77" zoomScaleSheetLayoutView="75" zoomScalePageLayoutView="58" workbookViewId="0">
      <selection activeCell="E53" sqref="E53"/>
    </sheetView>
  </sheetViews>
  <sheetFormatPr defaultColWidth="9.42578125" defaultRowHeight="15"/>
  <cols>
    <col min="1" max="1" width="2.28515625" style="473" customWidth="1"/>
    <col min="2" max="2" width="38.28515625" style="473" customWidth="1"/>
    <col min="3" max="6" width="10.5703125" style="473" customWidth="1"/>
    <col min="7" max="11" width="10.28515625" style="473" customWidth="1"/>
    <col min="12" max="13" width="10.140625" style="473" customWidth="1"/>
    <col min="14" max="17" width="10" style="473" customWidth="1"/>
    <col min="18" max="18" width="7.140625" style="473" customWidth="1"/>
    <col min="19" max="19" width="2.140625" style="473" customWidth="1"/>
    <col min="20" max="20" width="2.7109375" style="1613" customWidth="1"/>
    <col min="21" max="16384" width="9.42578125" style="1133"/>
  </cols>
  <sheetData>
    <row r="1" spans="1:20" ht="30">
      <c r="A1" s="4246" t="s">
        <v>1918</v>
      </c>
      <c r="B1" s="4246"/>
      <c r="C1" s="1131"/>
      <c r="D1" s="1215"/>
      <c r="E1" s="514"/>
      <c r="F1" s="524"/>
      <c r="G1" s="4211" t="s">
        <v>1896</v>
      </c>
      <c r="H1" s="4211"/>
      <c r="I1" s="4211"/>
      <c r="J1" s="4211"/>
      <c r="K1" s="1132"/>
      <c r="L1" s="344"/>
      <c r="M1" s="1670"/>
      <c r="N1" s="1670"/>
      <c r="O1" s="1670"/>
      <c r="P1" s="3889" t="s">
        <v>1917</v>
      </c>
      <c r="Q1" s="3889"/>
      <c r="R1" s="3889"/>
      <c r="S1" s="3705"/>
      <c r="T1" s="1162"/>
    </row>
    <row r="2" spans="1:20" ht="13.35" customHeight="1">
      <c r="A2" s="514"/>
      <c r="B2" s="514"/>
      <c r="C2" s="514"/>
      <c r="D2" s="514"/>
      <c r="E2" s="514"/>
      <c r="F2" s="514"/>
      <c r="G2" s="514"/>
      <c r="H2" s="514"/>
      <c r="I2" s="514"/>
      <c r="J2" s="514"/>
      <c r="K2" s="514"/>
      <c r="L2" s="1216"/>
      <c r="M2" s="1670"/>
      <c r="N2" s="514"/>
      <c r="O2" s="514"/>
      <c r="P2" s="4247" t="s">
        <v>1</v>
      </c>
      <c r="Q2" s="4247"/>
      <c r="R2" s="4247"/>
      <c r="S2" s="3702"/>
      <c r="T2" s="1162"/>
    </row>
    <row r="3" spans="1:20" ht="15" customHeight="1">
      <c r="A3" s="530"/>
      <c r="B3" s="530"/>
      <c r="C3" s="530"/>
      <c r="D3" s="1677"/>
      <c r="E3" s="4248" t="s">
        <v>389</v>
      </c>
      <c r="F3" s="4249"/>
      <c r="G3" s="4249"/>
      <c r="H3" s="4249"/>
      <c r="I3" s="4249"/>
      <c r="J3" s="514"/>
      <c r="K3" s="514"/>
      <c r="L3" s="514"/>
      <c r="M3" s="514"/>
      <c r="N3" s="530"/>
      <c r="O3" s="530"/>
      <c r="P3" s="3889" t="s">
        <v>307</v>
      </c>
      <c r="Q3" s="3889"/>
      <c r="R3" s="3889"/>
      <c r="S3" s="3705"/>
      <c r="T3" s="1162"/>
    </row>
    <row r="4" spans="1:20" ht="15" customHeight="1">
      <c r="A4" s="4261" t="s">
        <v>1069</v>
      </c>
      <c r="B4" s="4261"/>
      <c r="C4" s="514"/>
      <c r="D4" s="514"/>
      <c r="E4" s="514"/>
      <c r="F4" s="514"/>
      <c r="G4" s="514"/>
      <c r="H4" s="514"/>
      <c r="I4" s="514"/>
      <c r="J4" s="514"/>
      <c r="K4" s="514"/>
      <c r="L4" s="514"/>
      <c r="M4" s="514"/>
      <c r="N4" s="1132"/>
      <c r="O4" s="1132"/>
      <c r="P4" s="1132"/>
      <c r="Q4" s="1132"/>
      <c r="R4" s="1132"/>
      <c r="S4" s="1132"/>
      <c r="T4" s="1162"/>
    </row>
    <row r="5" spans="1:20" ht="15" customHeight="1">
      <c r="A5" s="1217"/>
      <c r="B5" s="1214"/>
      <c r="C5" s="514"/>
      <c r="D5" s="514"/>
      <c r="E5" s="514"/>
      <c r="F5" s="514"/>
      <c r="G5" s="514"/>
      <c r="H5" s="514"/>
      <c r="I5" s="514"/>
      <c r="J5" s="514"/>
      <c r="K5" s="514"/>
      <c r="L5" s="514"/>
      <c r="M5" s="514"/>
      <c r="N5" s="514"/>
      <c r="O5" s="514"/>
      <c r="P5" s="514"/>
      <c r="Q5" s="514"/>
      <c r="R5" s="514"/>
      <c r="S5" s="514"/>
      <c r="T5" s="1162"/>
    </row>
    <row r="6" spans="1:20" ht="15" customHeight="1">
      <c r="A6" s="492"/>
      <c r="B6" s="1218" t="s">
        <v>1759</v>
      </c>
      <c r="C6" s="1612" t="s">
        <v>1919</v>
      </c>
      <c r="D6" s="1612" t="s">
        <v>877</v>
      </c>
      <c r="E6" s="1612" t="s">
        <v>1920</v>
      </c>
      <c r="F6" s="2584"/>
      <c r="G6" s="1556"/>
      <c r="H6" s="1556"/>
      <c r="I6" s="1612" t="s">
        <v>877</v>
      </c>
      <c r="J6" s="1612" t="s">
        <v>1919</v>
      </c>
      <c r="K6" s="1612" t="s">
        <v>1920</v>
      </c>
      <c r="L6" s="3765"/>
      <c r="M6" s="1670"/>
      <c r="N6" s="1670"/>
      <c r="O6" s="1612" t="s">
        <v>877</v>
      </c>
      <c r="P6" s="1612" t="s">
        <v>1920</v>
      </c>
      <c r="Q6" s="1612" t="s">
        <v>1928</v>
      </c>
      <c r="R6" s="492"/>
      <c r="S6" s="492"/>
      <c r="T6" s="1162"/>
    </row>
    <row r="7" spans="1:20" ht="15" customHeight="1">
      <c r="A7" s="492"/>
      <c r="B7" s="1219" t="s">
        <v>1070</v>
      </c>
      <c r="C7" s="1220">
        <f>D7*0.264172</f>
        <v>6.0759560000000006</v>
      </c>
      <c r="D7" s="1685">
        <v>23</v>
      </c>
      <c r="E7" s="1220">
        <f>D7*0.219969</f>
        <v>5.0592870000000003</v>
      </c>
      <c r="F7" s="514"/>
      <c r="G7" s="530"/>
      <c r="H7" s="530"/>
      <c r="I7" s="1220">
        <f>4.54609*K7</f>
        <v>18.942041666666668</v>
      </c>
      <c r="J7" s="1685">
        <v>5</v>
      </c>
      <c r="K7" s="1220">
        <f>J7*(5/6)</f>
        <v>4.166666666666667</v>
      </c>
      <c r="L7" s="447"/>
      <c r="M7" s="1670"/>
      <c r="N7" s="1670"/>
      <c r="O7" s="1220">
        <f>4.54609*P7</f>
        <v>22.730450000000001</v>
      </c>
      <c r="P7" s="1685">
        <v>5</v>
      </c>
      <c r="Q7" s="1220">
        <f>P7*(6/5)</f>
        <v>6</v>
      </c>
      <c r="R7" s="492"/>
      <c r="S7" s="492"/>
      <c r="T7" s="1162"/>
    </row>
    <row r="8" spans="1:20" ht="15" customHeight="1">
      <c r="A8" s="492"/>
      <c r="B8" s="1221" t="s">
        <v>1071</v>
      </c>
      <c r="C8" s="447"/>
      <c r="D8" s="447"/>
      <c r="E8" s="447"/>
      <c r="F8" s="514"/>
      <c r="G8" s="530"/>
      <c r="H8" s="530"/>
      <c r="I8" s="447"/>
      <c r="J8" s="447"/>
      <c r="K8" s="447"/>
      <c r="L8" s="447"/>
      <c r="M8" s="1670"/>
      <c r="N8" s="1670"/>
      <c r="O8" s="1222"/>
      <c r="P8" s="447"/>
      <c r="Q8" s="447"/>
      <c r="R8" s="492"/>
      <c r="S8" s="492"/>
      <c r="T8" s="1162"/>
    </row>
    <row r="9" spans="1:20" ht="15" customHeight="1">
      <c r="A9" s="492"/>
      <c r="B9" s="1221" t="s">
        <v>1072</v>
      </c>
      <c r="C9" s="1612" t="s">
        <v>1921</v>
      </c>
      <c r="D9" s="1612" t="s">
        <v>877</v>
      </c>
      <c r="E9" s="1612" t="s">
        <v>1922</v>
      </c>
      <c r="F9" s="514"/>
      <c r="G9" s="530"/>
      <c r="H9" s="530"/>
      <c r="I9" s="1612" t="s">
        <v>877</v>
      </c>
      <c r="J9" s="1612" t="s">
        <v>1923</v>
      </c>
      <c r="K9" s="1612" t="s">
        <v>1922</v>
      </c>
      <c r="L9" s="447"/>
      <c r="M9" s="1670"/>
      <c r="N9" s="1670"/>
      <c r="O9" s="1612" t="s">
        <v>877</v>
      </c>
      <c r="P9" s="1612" t="s">
        <v>1922</v>
      </c>
      <c r="Q9" s="1612" t="s">
        <v>1929</v>
      </c>
      <c r="R9" s="492"/>
      <c r="S9" s="492"/>
      <c r="T9" s="1162"/>
    </row>
    <row r="10" spans="1:20" ht="15" customHeight="1">
      <c r="A10" s="492"/>
      <c r="B10" s="1221" t="s">
        <v>1073</v>
      </c>
      <c r="C10" s="1223">
        <f>E10*6/5</f>
        <v>2.1116999999999999</v>
      </c>
      <c r="D10" s="1686">
        <v>1</v>
      </c>
      <c r="E10" s="1224">
        <f>D10*1.75975</f>
        <v>1.7597499999999999</v>
      </c>
      <c r="F10" s="514"/>
      <c r="G10" s="530"/>
      <c r="H10" s="530"/>
      <c r="I10" s="1220">
        <f>4.54609*K10/8</f>
        <v>0.47355104166666673</v>
      </c>
      <c r="J10" s="1685">
        <v>1</v>
      </c>
      <c r="K10" s="1220">
        <f>J10*(5/6)</f>
        <v>0.83333333333333337</v>
      </c>
      <c r="L10" s="447"/>
      <c r="M10" s="1670"/>
      <c r="N10" s="1670"/>
      <c r="O10" s="1220">
        <f>0.568261*P10</f>
        <v>0.56826100000000002</v>
      </c>
      <c r="P10" s="1685">
        <v>1</v>
      </c>
      <c r="Q10" s="1220">
        <f>P10*(6/5)</f>
        <v>1.2</v>
      </c>
      <c r="R10" s="492"/>
      <c r="S10" s="492"/>
      <c r="T10" s="1162"/>
    </row>
    <row r="11" spans="1:20" ht="15" customHeight="1">
      <c r="A11" s="492"/>
      <c r="B11" s="1221"/>
      <c r="C11" s="530"/>
      <c r="D11" s="530"/>
      <c r="E11" s="530"/>
      <c r="F11" s="514"/>
      <c r="G11" s="530"/>
      <c r="H11" s="530"/>
      <c r="I11" s="492"/>
      <c r="J11" s="492"/>
      <c r="K11" s="492"/>
      <c r="L11" s="447"/>
      <c r="M11" s="1670"/>
      <c r="N11" s="1670"/>
      <c r="O11" s="492"/>
      <c r="P11" s="492"/>
      <c r="Q11" s="492"/>
      <c r="R11" s="492"/>
      <c r="S11" s="492"/>
      <c r="T11" s="1162"/>
    </row>
    <row r="12" spans="1:20" ht="15" customHeight="1">
      <c r="A12" s="447"/>
      <c r="B12" s="1218" t="s">
        <v>1074</v>
      </c>
      <c r="C12" s="1612" t="s">
        <v>40</v>
      </c>
      <c r="D12" s="1612" t="s">
        <v>331</v>
      </c>
      <c r="E12" s="1612" t="s">
        <v>676</v>
      </c>
      <c r="F12" s="514"/>
      <c r="G12" s="530"/>
      <c r="H12" s="530"/>
      <c r="I12" s="1225" t="s">
        <v>126</v>
      </c>
      <c r="J12" s="1678" t="s">
        <v>125</v>
      </c>
      <c r="K12" s="4035" t="s">
        <v>1075</v>
      </c>
      <c r="L12" s="4022"/>
      <c r="M12" s="1670"/>
      <c r="N12" s="1670"/>
      <c r="O12" s="1226" t="s">
        <v>40</v>
      </c>
      <c r="P12" s="1226" t="s">
        <v>331</v>
      </c>
      <c r="Q12" s="1226" t="s">
        <v>125</v>
      </c>
      <c r="R12" s="492"/>
      <c r="S12" s="492"/>
      <c r="T12" s="1162"/>
    </row>
    <row r="13" spans="1:20" ht="15" customHeight="1">
      <c r="A13" s="447"/>
      <c r="B13" s="1227" t="s">
        <v>1076</v>
      </c>
      <c r="C13" s="1228">
        <f>1000*D13/2.20462</f>
        <v>453.59290943563974</v>
      </c>
      <c r="D13" s="1687">
        <v>1</v>
      </c>
      <c r="E13" s="1228">
        <f>D13*2.20462</f>
        <v>2.2046199999999998</v>
      </c>
      <c r="F13" s="514"/>
      <c r="G13" s="530"/>
      <c r="H13" s="530"/>
      <c r="I13" s="1690">
        <v>1</v>
      </c>
      <c r="J13" s="1691">
        <v>4</v>
      </c>
      <c r="K13" s="1226">
        <f>1000*(I13+J13/16)*0.4536</f>
        <v>567</v>
      </c>
      <c r="L13" s="1228">
        <f>K13/1000</f>
        <v>0.56699999999999995</v>
      </c>
      <c r="M13" s="1670"/>
      <c r="N13" s="1670"/>
      <c r="O13" s="1228">
        <f>P13/0.035274</f>
        <v>850.48477632250388</v>
      </c>
      <c r="P13" s="1687">
        <v>30</v>
      </c>
      <c r="Q13" s="1228">
        <f>P13*0.035274</f>
        <v>1.0582199999999999</v>
      </c>
      <c r="R13" s="492"/>
      <c r="S13" s="492"/>
      <c r="T13" s="1162"/>
    </row>
    <row r="14" spans="1:20" ht="15" customHeight="1">
      <c r="A14" s="447"/>
      <c r="B14" s="1229" t="s">
        <v>1077</v>
      </c>
      <c r="C14" s="447"/>
      <c r="D14" s="492"/>
      <c r="E14" s="492"/>
      <c r="F14" s="514"/>
      <c r="G14" s="530"/>
      <c r="H14" s="530"/>
      <c r="I14" s="492"/>
      <c r="J14" s="492"/>
      <c r="K14" s="447"/>
      <c r="L14" s="447"/>
      <c r="M14" s="1670"/>
      <c r="N14" s="1670"/>
      <c r="O14" s="447"/>
      <c r="P14" s="447"/>
      <c r="Q14" s="447"/>
      <c r="R14" s="492"/>
      <c r="S14" s="492"/>
      <c r="T14" s="1162"/>
    </row>
    <row r="15" spans="1:20" ht="15" customHeight="1">
      <c r="A15" s="447"/>
      <c r="B15" s="1230"/>
      <c r="C15" s="1226" t="s">
        <v>1078</v>
      </c>
      <c r="D15" s="1226" t="s">
        <v>331</v>
      </c>
      <c r="E15" s="1226" t="s">
        <v>676</v>
      </c>
      <c r="F15" s="514"/>
      <c r="G15" s="530"/>
      <c r="H15" s="530"/>
      <c r="I15" s="1226" t="s">
        <v>61</v>
      </c>
      <c r="J15" s="4035" t="s">
        <v>1079</v>
      </c>
      <c r="K15" s="4021"/>
      <c r="L15" s="4022"/>
      <c r="M15" s="1670"/>
      <c r="N15" s="1670"/>
      <c r="O15" s="1226" t="s">
        <v>676</v>
      </c>
      <c r="P15" s="1679" t="s">
        <v>125</v>
      </c>
      <c r="Q15" s="1231" t="s">
        <v>1080</v>
      </c>
      <c r="R15" s="492"/>
      <c r="S15" s="492"/>
      <c r="T15" s="1162"/>
    </row>
    <row r="16" spans="1:20" ht="15" customHeight="1">
      <c r="A16" s="447"/>
      <c r="B16" s="447"/>
      <c r="C16" s="1228">
        <f>D16/2.20462</f>
        <v>1.8143716377425589</v>
      </c>
      <c r="D16" s="1688">
        <v>4</v>
      </c>
      <c r="E16" s="1232">
        <f>D16*2.20462</f>
        <v>8.8184799999999992</v>
      </c>
      <c r="F16" s="530"/>
      <c r="G16" s="530"/>
      <c r="H16" s="530"/>
      <c r="I16" s="1687">
        <v>1000</v>
      </c>
      <c r="J16" s="1233">
        <f>16*K16</f>
        <v>35.273368606701936</v>
      </c>
      <c r="K16" s="1233">
        <f>I16/(1000*0.4536)</f>
        <v>2.204585537918871</v>
      </c>
      <c r="L16" s="1234" t="str">
        <f>INT(J16/16)&amp;" lb. "&amp;FIXED(J16-16*INT(J16/16))</f>
        <v>2 lb. 3.27</v>
      </c>
      <c r="M16" s="1670"/>
      <c r="N16" s="1670"/>
      <c r="O16" s="1687">
        <v>2.2000000000000002</v>
      </c>
      <c r="P16" s="1235">
        <f>O16*16</f>
        <v>35.200000000000003</v>
      </c>
      <c r="Q16" s="1234" t="str">
        <f>INT(P16/16)&amp;" lb  "&amp;FIXED(P16-16*INT(P16/16))</f>
        <v>2 lb  3.20</v>
      </c>
      <c r="R16" s="492"/>
      <c r="S16" s="492"/>
      <c r="T16" s="1162"/>
    </row>
    <row r="17" spans="1:20" ht="15" customHeight="1">
      <c r="A17" s="447"/>
      <c r="B17" s="492"/>
      <c r="C17" s="492"/>
      <c r="D17" s="492"/>
      <c r="E17" s="492"/>
      <c r="F17" s="530"/>
      <c r="G17" s="530"/>
      <c r="H17" s="530"/>
      <c r="I17" s="492"/>
      <c r="J17" s="524"/>
      <c r="K17" s="492"/>
      <c r="L17" s="492"/>
      <c r="M17" s="1670"/>
      <c r="N17" s="492"/>
      <c r="O17" s="492"/>
      <c r="P17" s="492"/>
      <c r="Q17" s="492"/>
      <c r="R17" s="492"/>
      <c r="S17" s="492"/>
      <c r="T17" s="1162"/>
    </row>
    <row r="18" spans="1:20" ht="15" customHeight="1">
      <c r="A18" s="447"/>
      <c r="B18" s="3476" t="s">
        <v>1081</v>
      </c>
      <c r="C18" s="1234" t="s">
        <v>1082</v>
      </c>
      <c r="D18" s="1240" t="s">
        <v>1083</v>
      </c>
      <c r="E18" s="1236" t="s">
        <v>1924</v>
      </c>
      <c r="F18" s="530"/>
      <c r="G18" s="530"/>
      <c r="H18" s="530"/>
      <c r="I18" s="1236" t="s">
        <v>1084</v>
      </c>
      <c r="J18" s="1236" t="s">
        <v>1083</v>
      </c>
      <c r="K18" s="1236" t="s">
        <v>1925</v>
      </c>
      <c r="L18" s="492"/>
      <c r="M18" s="1670"/>
      <c r="N18" s="492"/>
      <c r="O18" s="1237" t="s">
        <v>27</v>
      </c>
      <c r="P18" s="1237" t="s">
        <v>1085</v>
      </c>
      <c r="Q18" s="1237" t="s">
        <v>1930</v>
      </c>
      <c r="R18" s="492"/>
      <c r="S18" s="492"/>
      <c r="T18" s="1162"/>
    </row>
    <row r="19" spans="1:20" ht="15" customHeight="1">
      <c r="A19" s="447"/>
      <c r="B19" s="492"/>
      <c r="C19" s="1238">
        <f>D19*0.09977637</f>
        <v>9.9776370000000003E-2</v>
      </c>
      <c r="D19" s="1688">
        <v>1</v>
      </c>
      <c r="E19" s="1233">
        <f>D19*10.022413122466</f>
        <v>10.022413122466</v>
      </c>
      <c r="F19" s="530"/>
      <c r="G19" s="530"/>
      <c r="H19" s="530"/>
      <c r="I19" s="1233">
        <f>J19*49.888</f>
        <v>49.887999999999998</v>
      </c>
      <c r="J19" s="1689">
        <v>1</v>
      </c>
      <c r="K19" s="1228">
        <f>J19*0.02004</f>
        <v>2.0039999999999999E-2</v>
      </c>
      <c r="L19" s="492"/>
      <c r="M19" s="1670"/>
      <c r="N19" s="492"/>
      <c r="O19" s="1235">
        <f>P19*28.41306</f>
        <v>340.95672000000002</v>
      </c>
      <c r="P19" s="1687">
        <v>12</v>
      </c>
      <c r="Q19" s="1238">
        <f>P19/28.41306</f>
        <v>0.42234099389506091</v>
      </c>
      <c r="R19" s="492"/>
      <c r="S19" s="492"/>
      <c r="T19" s="1162"/>
    </row>
    <row r="20" spans="1:20" ht="15" customHeight="1">
      <c r="A20" s="447"/>
      <c r="B20" s="447"/>
      <c r="C20" s="1239"/>
      <c r="D20" s="1239"/>
      <c r="E20" s="1239"/>
      <c r="F20" s="530"/>
      <c r="G20" s="530"/>
      <c r="H20" s="530"/>
      <c r="I20" s="1239"/>
      <c r="J20" s="1239"/>
      <c r="K20" s="1239"/>
      <c r="L20" s="492"/>
      <c r="M20" s="1670"/>
      <c r="N20" s="492"/>
      <c r="O20" s="447"/>
      <c r="P20" s="447"/>
      <c r="Q20" s="447"/>
      <c r="R20" s="492"/>
      <c r="S20" s="492"/>
      <c r="T20" s="1162"/>
    </row>
    <row r="21" spans="1:20" ht="15" customHeight="1">
      <c r="A21" s="492"/>
      <c r="B21" s="447"/>
      <c r="C21" s="1240" t="s">
        <v>1082</v>
      </c>
      <c r="D21" s="1240" t="s">
        <v>1083</v>
      </c>
      <c r="E21" s="1234" t="s">
        <v>1926</v>
      </c>
      <c r="F21" s="530"/>
      <c r="G21" s="530"/>
      <c r="H21" s="530"/>
      <c r="I21" s="1236" t="s">
        <v>1084</v>
      </c>
      <c r="J21" s="1236" t="s">
        <v>1083</v>
      </c>
      <c r="K21" s="1234" t="s">
        <v>1927</v>
      </c>
      <c r="L21" s="492"/>
      <c r="M21" s="1670"/>
      <c r="N21" s="492"/>
      <c r="O21" s="1237" t="s">
        <v>27</v>
      </c>
      <c r="P21" s="1237" t="s">
        <v>1085</v>
      </c>
      <c r="Q21" s="1237" t="s">
        <v>1931</v>
      </c>
      <c r="R21" s="492"/>
      <c r="S21" s="492"/>
      <c r="T21" s="1162"/>
    </row>
    <row r="22" spans="1:20" ht="15" customHeight="1">
      <c r="A22" s="492"/>
      <c r="B22" s="1143"/>
      <c r="C22" s="1228">
        <f>D22*0.1198264</f>
        <v>0.1198264</v>
      </c>
      <c r="D22" s="1689">
        <v>1</v>
      </c>
      <c r="E22" s="1235">
        <f>D22*8.3454063545262</f>
        <v>8.3454063545261992</v>
      </c>
      <c r="F22" s="530"/>
      <c r="G22" s="1241"/>
      <c r="H22" s="530"/>
      <c r="I22" s="1233">
        <f>J22*59.913</f>
        <v>59.912999999999997</v>
      </c>
      <c r="J22" s="1689">
        <v>1</v>
      </c>
      <c r="K22" s="1228">
        <f>J22*0.016691</f>
        <v>1.6691000000000001E-2</v>
      </c>
      <c r="L22" s="492"/>
      <c r="M22" s="1670"/>
      <c r="N22" s="492"/>
      <c r="O22" s="1235">
        <f>P22*29.57353</f>
        <v>354.88236000000001</v>
      </c>
      <c r="P22" s="1687">
        <v>12</v>
      </c>
      <c r="Q22" s="1238">
        <f>P22/29.57353</f>
        <v>0.40576826641932834</v>
      </c>
      <c r="R22" s="492"/>
      <c r="S22" s="492"/>
      <c r="T22" s="1162"/>
    </row>
    <row r="23" spans="1:20" ht="15" customHeight="1">
      <c r="A23" s="492"/>
      <c r="B23" s="530"/>
      <c r="C23" s="3519"/>
      <c r="D23" s="3519"/>
      <c r="E23" s="1214"/>
      <c r="F23" s="530"/>
      <c r="G23" s="530"/>
      <c r="H23" s="530"/>
      <c r="I23" s="4075" t="str">
        <f>1*FIXED(J22)&amp;" g ̸ litre = "&amp;1*FIXED(K22,3)&amp;" oz ̸ pt US"</f>
        <v>1 g ̸ litre = 0.017 oz ̸ pt US</v>
      </c>
      <c r="J23" s="4075"/>
      <c r="K23" s="4075"/>
      <c r="L23" s="492"/>
      <c r="M23" s="1670"/>
      <c r="N23" s="492"/>
      <c r="O23" s="492"/>
      <c r="P23" s="492"/>
      <c r="Q23" s="492"/>
      <c r="R23" s="492"/>
      <c r="S23" s="492"/>
      <c r="T23" s="1162"/>
    </row>
    <row r="24" spans="1:20" ht="15" customHeight="1">
      <c r="A24" s="1242"/>
      <c r="B24" s="1243" t="s">
        <v>861</v>
      </c>
      <c r="C24" s="1244" t="s">
        <v>1086</v>
      </c>
      <c r="D24" s="1244" t="s">
        <v>863</v>
      </c>
      <c r="E24" s="1234" t="s">
        <v>1087</v>
      </c>
      <c r="F24" s="530"/>
      <c r="G24" s="530"/>
      <c r="H24" s="530"/>
      <c r="I24" s="4077" t="str">
        <f>1*FIXED(J22)&amp;" oz ̸ pt US = "&amp;1*FIXED(I22,2)&amp;" g ̸ litre"</f>
        <v>1 oz ̸ pt US = 59.91 g ̸ litre</v>
      </c>
      <c r="J24" s="4077"/>
      <c r="K24" s="4077"/>
      <c r="L24" s="1245"/>
      <c r="M24" s="1245"/>
      <c r="N24" s="1246"/>
      <c r="O24" s="1237" t="s">
        <v>1930</v>
      </c>
      <c r="P24" s="1244" t="s">
        <v>29</v>
      </c>
      <c r="Q24" s="1244" t="s">
        <v>1932</v>
      </c>
      <c r="R24" s="1247"/>
      <c r="S24" s="1247"/>
      <c r="T24" s="1162"/>
    </row>
    <row r="25" spans="1:20" ht="15" customHeight="1">
      <c r="A25" s="447"/>
      <c r="B25" s="1248"/>
      <c r="C25" s="1249">
        <f>((D25+40)*5/9)-40</f>
        <v>-6.6666666666666643</v>
      </c>
      <c r="D25" s="1688">
        <v>20</v>
      </c>
      <c r="E25" s="1250">
        <f>((D25+40)*9/5)-40</f>
        <v>68</v>
      </c>
      <c r="F25" s="530"/>
      <c r="G25" s="530"/>
      <c r="H25" s="530"/>
      <c r="I25" s="1251"/>
      <c r="J25" s="1251"/>
      <c r="K25" s="1251"/>
      <c r="L25" s="492"/>
      <c r="M25" s="1670"/>
      <c r="N25" s="492"/>
      <c r="O25" s="1250">
        <f>P25/0.96076</f>
        <v>12.490111994670887</v>
      </c>
      <c r="P25" s="1688">
        <v>12</v>
      </c>
      <c r="Q25" s="1250">
        <f>P25*0.96076</f>
        <v>11.529119999999999</v>
      </c>
      <c r="R25" s="1247"/>
      <c r="S25" s="1247"/>
      <c r="T25" s="1162"/>
    </row>
    <row r="26" spans="1:20" ht="15" customHeight="1">
      <c r="A26" s="1143"/>
      <c r="B26" s="486"/>
      <c r="C26" s="486"/>
      <c r="D26" s="486"/>
      <c r="E26" s="486"/>
      <c r="F26" s="530"/>
      <c r="G26" s="530"/>
      <c r="H26" s="530"/>
      <c r="I26" s="486"/>
      <c r="J26" s="486"/>
      <c r="K26" s="486"/>
      <c r="L26" s="492"/>
      <c r="M26" s="1670"/>
      <c r="N26" s="492"/>
      <c r="O26" s="486"/>
      <c r="P26" s="486"/>
      <c r="Q26" s="486"/>
      <c r="R26" s="1247"/>
      <c r="S26" s="1247"/>
      <c r="T26" s="1162"/>
    </row>
    <row r="27" spans="1:20" ht="15" customHeight="1">
      <c r="A27" s="514"/>
      <c r="B27" s="4210" t="s">
        <v>1088</v>
      </c>
      <c r="C27" s="4210"/>
      <c r="D27" s="1252"/>
      <c r="E27" s="1252"/>
      <c r="F27" s="530"/>
      <c r="G27" s="530"/>
      <c r="H27" s="530"/>
      <c r="I27" s="3494"/>
      <c r="J27" s="3494"/>
      <c r="K27" s="3494"/>
      <c r="L27" s="3494"/>
      <c r="M27" s="3494"/>
      <c r="N27" s="3494"/>
      <c r="O27" s="486"/>
      <c r="P27" s="486"/>
      <c r="Q27" s="486"/>
      <c r="R27" s="1247"/>
      <c r="S27" s="1247"/>
      <c r="T27" s="1162"/>
    </row>
    <row r="28" spans="1:20" ht="15" customHeight="1">
      <c r="A28" s="1253"/>
      <c r="B28" s="1131"/>
      <c r="C28" s="1254" t="s">
        <v>1089</v>
      </c>
      <c r="D28" s="1255" t="s">
        <v>1090</v>
      </c>
      <c r="E28" s="1256" t="s">
        <v>1091</v>
      </c>
      <c r="F28" s="1255" t="s">
        <v>1092</v>
      </c>
      <c r="G28" s="530"/>
      <c r="H28" s="530"/>
      <c r="I28" s="3418" t="s">
        <v>1090</v>
      </c>
      <c r="J28" s="3419" t="s">
        <v>1089</v>
      </c>
      <c r="K28" s="3418" t="s">
        <v>1092</v>
      </c>
      <c r="L28" s="3419" t="s">
        <v>1091</v>
      </c>
      <c r="M28" s="1670"/>
      <c r="N28" s="1670"/>
      <c r="O28" s="486"/>
      <c r="P28" s="486"/>
      <c r="Q28" s="486"/>
      <c r="R28" s="1247"/>
      <c r="S28" s="1247"/>
      <c r="T28" s="1162"/>
    </row>
    <row r="29" spans="1:20" ht="15" customHeight="1">
      <c r="A29" s="1215"/>
      <c r="B29" s="1131"/>
      <c r="C29" s="1692">
        <v>23</v>
      </c>
      <c r="D29" s="1693">
        <v>25</v>
      </c>
      <c r="E29" s="1694">
        <v>22</v>
      </c>
      <c r="F29" s="3423">
        <f>D29*E29/C29</f>
        <v>23.913043478260871</v>
      </c>
      <c r="G29" s="530"/>
      <c r="H29" s="530"/>
      <c r="I29" s="3420">
        <v>13</v>
      </c>
      <c r="J29" s="3421">
        <v>23</v>
      </c>
      <c r="K29" s="3420">
        <v>22</v>
      </c>
      <c r="L29" s="3422">
        <f>J29*K29/I29</f>
        <v>38.92307692307692</v>
      </c>
      <c r="M29" s="1670"/>
      <c r="N29" s="1670"/>
      <c r="O29" s="492"/>
      <c r="P29" s="492"/>
      <c r="Q29" s="492"/>
      <c r="R29" s="492"/>
      <c r="S29" s="492"/>
      <c r="T29" s="1162"/>
    </row>
    <row r="30" spans="1:20" ht="15" customHeight="1">
      <c r="A30" s="1131"/>
      <c r="B30" s="1131"/>
      <c r="C30" s="1131"/>
      <c r="D30" s="1131"/>
      <c r="E30" s="1131"/>
      <c r="F30" s="1131"/>
      <c r="G30" s="530"/>
      <c r="H30" s="530"/>
      <c r="I30" s="1131"/>
      <c r="J30" s="1131"/>
      <c r="K30" s="1131"/>
      <c r="L30" s="1131"/>
      <c r="M30" s="1670"/>
      <c r="N30" s="1670"/>
      <c r="O30" s="492"/>
      <c r="P30" s="492"/>
      <c r="Q30" s="492"/>
      <c r="R30" s="492"/>
      <c r="S30" s="492"/>
      <c r="T30" s="1162"/>
    </row>
    <row r="31" spans="1:20" ht="15" customHeight="1">
      <c r="A31" s="447"/>
      <c r="B31" s="492"/>
      <c r="C31" s="492"/>
      <c r="D31" s="447"/>
      <c r="E31" s="447"/>
      <c r="F31" s="1257"/>
      <c r="G31" s="530"/>
      <c r="H31" s="530"/>
      <c r="I31" s="492"/>
      <c r="J31" s="492"/>
      <c r="K31" s="492"/>
      <c r="L31" s="492"/>
      <c r="M31" s="1670"/>
      <c r="N31" s="1670"/>
      <c r="O31" s="492"/>
      <c r="P31" s="492"/>
      <c r="Q31" s="492"/>
      <c r="R31" s="492"/>
      <c r="S31" s="492"/>
      <c r="T31" s="1162"/>
    </row>
    <row r="32" spans="1:20" ht="15" customHeight="1">
      <c r="A32" s="4250" t="s">
        <v>1093</v>
      </c>
      <c r="B32" s="4250"/>
      <c r="C32" s="1695">
        <v>75</v>
      </c>
      <c r="D32" s="4251" t="s">
        <v>1094</v>
      </c>
      <c r="E32" s="4251"/>
      <c r="F32" s="4251"/>
      <c r="G32" s="4251"/>
      <c r="H32" s="4251"/>
      <c r="I32" s="492"/>
      <c r="J32" s="1258"/>
      <c r="K32" s="492"/>
      <c r="L32" s="492"/>
      <c r="M32" s="1670"/>
      <c r="N32" s="4252" t="s">
        <v>1095</v>
      </c>
      <c r="O32" s="4252"/>
      <c r="P32" s="4252"/>
      <c r="Q32" s="4252"/>
      <c r="R32" s="4252"/>
      <c r="S32" s="1259"/>
      <c r="T32" s="1162"/>
    </row>
    <row r="33" spans="1:20" ht="15" customHeight="1">
      <c r="A33" s="447"/>
      <c r="B33" s="1260" t="s">
        <v>322</v>
      </c>
      <c r="C33" s="1696">
        <v>1000</v>
      </c>
      <c r="D33" s="4253" t="str">
        <f>"g = "&amp;1*FIXED(('Beer Data Sheet'!$Z$42/'Beer Data Sheet'!$Z$48)*($C$32/100)*C33,0)&amp;"g LIQUID Extract †"</f>
        <v>g = 726g LIQUID Extract †</v>
      </c>
      <c r="E33" s="4254"/>
      <c r="F33" s="4254"/>
      <c r="G33" s="4217" t="str">
        <f>"= "&amp;1*FIXED(C33*'Beer Data Sheet'!$Z$42*($C$32/100)/'Beer Data Sheet'!$Z$49,0)&amp;"g DRY Extract †"</f>
        <v>= 616g DRY Extract †</v>
      </c>
      <c r="H33" s="4218"/>
      <c r="I33" s="492"/>
      <c r="J33" s="4255" t="s">
        <v>1096</v>
      </c>
      <c r="K33" s="4256"/>
      <c r="L33" s="4257"/>
      <c r="M33" s="1261" t="s">
        <v>41</v>
      </c>
      <c r="N33" s="1670"/>
      <c r="O33" s="1262" t="s">
        <v>1097</v>
      </c>
      <c r="P33" s="1263" t="s">
        <v>499</v>
      </c>
      <c r="Q33" s="1264" t="s">
        <v>1098</v>
      </c>
      <c r="R33" s="492"/>
      <c r="S33" s="492"/>
      <c r="T33" s="1162"/>
    </row>
    <row r="34" spans="1:20" ht="15" customHeight="1">
      <c r="A34" s="447"/>
      <c r="B34" s="1265" t="s">
        <v>325</v>
      </c>
      <c r="C34" s="1696">
        <v>1000</v>
      </c>
      <c r="D34" s="4215" t="str">
        <f>"g = "&amp;1*FIXED(('Beer Data Sheet'!$Z$48/'Beer Data Sheet'!$Z$49)*C34,0)&amp;"g DRY Extract"</f>
        <v>g = 849g DRY Extract</v>
      </c>
      <c r="E34" s="4216"/>
      <c r="F34" s="4216"/>
      <c r="G34" s="4217" t="str">
        <f>"= "&amp;1*FIXED(C34*'Beer Data Sheet'!$Z$48/('Beer Data Sheet'!$Z$42*($C$32/100)),0)&amp;"g Pale MALT †"</f>
        <v>= 1378g Pale MALT †</v>
      </c>
      <c r="H34" s="4218"/>
      <c r="I34" s="492"/>
      <c r="J34" s="4258"/>
      <c r="K34" s="4259"/>
      <c r="L34" s="4260"/>
      <c r="M34" s="1266" t="s">
        <v>1099</v>
      </c>
      <c r="N34" s="492"/>
      <c r="O34" s="1267" t="s">
        <v>1100</v>
      </c>
      <c r="P34" s="1268" t="s">
        <v>1101</v>
      </c>
      <c r="Q34" s="1269" t="s">
        <v>1102</v>
      </c>
      <c r="R34" s="492"/>
      <c r="S34" s="492"/>
      <c r="T34" s="1162"/>
    </row>
    <row r="35" spans="1:20" ht="15" customHeight="1">
      <c r="A35" s="447"/>
      <c r="B35" s="1265" t="s">
        <v>326</v>
      </c>
      <c r="C35" s="1696">
        <v>1000</v>
      </c>
      <c r="D35" s="4215" t="str">
        <f>"g = "&amp;1*FIXED(('Beer Data Sheet'!$Z$49/'Beer Data Sheet'!$Z$48)*C35,0)&amp;"g LIQUID Extract"</f>
        <v>g = 1177g LIQUID Extract</v>
      </c>
      <c r="E35" s="4216"/>
      <c r="F35" s="4216"/>
      <c r="G35" s="4217" t="str">
        <f>"= "&amp;1*FIXED(C35*'Beer Data Sheet'!$Z$49/('Beer Data Sheet'!$Z$42*($C$32/100)),0)&amp;"g Pale MALT †"</f>
        <v>= 1622g Pale MALT †</v>
      </c>
      <c r="H35" s="4218"/>
      <c r="I35" s="492"/>
      <c r="J35" s="4163" t="s">
        <v>1103</v>
      </c>
      <c r="K35" s="4164"/>
      <c r="L35" s="4165"/>
      <c r="M35" s="1680">
        <f>'Beer Data Sheet'!$Z$42</f>
        <v>300</v>
      </c>
      <c r="N35" s="4219" t="s">
        <v>1104</v>
      </c>
      <c r="O35" s="1270">
        <f>P35*(M37/M38)</f>
        <v>1023.102310231023</v>
      </c>
      <c r="P35" s="1697">
        <v>1000</v>
      </c>
      <c r="Q35" s="1271">
        <f>P35*(M38/M37)</f>
        <v>977.41935483870964</v>
      </c>
      <c r="R35" s="492"/>
      <c r="S35" s="492"/>
      <c r="T35" s="1162"/>
    </row>
    <row r="36" spans="1:20" ht="15" customHeight="1">
      <c r="A36" s="447"/>
      <c r="B36" s="1272" t="s">
        <v>1105</v>
      </c>
      <c r="C36" s="1697">
        <v>1000</v>
      </c>
      <c r="D36" s="4220" t="str">
        <f>"g = "&amp;1*FIXED(1*C36*M38/M37,0)&amp;"g LIQUID Malt Extract (NEW)"</f>
        <v>g = 977g LIQUID Malt Extract (NEW)</v>
      </c>
      <c r="E36" s="4221"/>
      <c r="F36" s="4221"/>
      <c r="G36" s="4221"/>
      <c r="H36" s="4222"/>
      <c r="I36" s="492"/>
      <c r="J36" s="4163" t="s">
        <v>326</v>
      </c>
      <c r="K36" s="4164"/>
      <c r="L36" s="4165"/>
      <c r="M36" s="1681">
        <f>'Beer Data Sheet'!$Z$49</f>
        <v>365</v>
      </c>
      <c r="N36" s="4219"/>
      <c r="O36" s="4176" t="s">
        <v>1106</v>
      </c>
      <c r="P36" s="4177"/>
      <c r="Q36" s="4177"/>
      <c r="R36" s="3492"/>
      <c r="S36" s="3492"/>
      <c r="T36" s="1162"/>
    </row>
    <row r="37" spans="1:20" ht="15" customHeight="1">
      <c r="A37" s="447"/>
      <c r="B37" s="1273" t="s">
        <v>1107</v>
      </c>
      <c r="C37" s="1696">
        <v>1000</v>
      </c>
      <c r="D37" s="4204" t="str">
        <f>"g = "&amp;1*FIXED(C37*0.85,0)&amp;"g CANE Sugar"</f>
        <v>g = 850g CANE Sugar</v>
      </c>
      <c r="E37" s="4205"/>
      <c r="F37" s="4205"/>
      <c r="G37" s="4205"/>
      <c r="H37" s="4206"/>
      <c r="I37" s="492"/>
      <c r="J37" s="4163" t="s">
        <v>1108</v>
      </c>
      <c r="K37" s="4164"/>
      <c r="L37" s="4165"/>
      <c r="M37" s="1682">
        <f>'Beer Data Sheet'!$Z$48</f>
        <v>310</v>
      </c>
      <c r="N37" s="4219"/>
      <c r="O37" s="4101"/>
      <c r="P37" s="4101"/>
      <c r="Q37" s="4101"/>
      <c r="R37" s="492"/>
      <c r="S37" s="492"/>
      <c r="T37" s="1162"/>
    </row>
    <row r="38" spans="1:20" ht="15" customHeight="1">
      <c r="A38" s="447"/>
      <c r="B38" s="1274" t="s">
        <v>1109</v>
      </c>
      <c r="C38" s="1697">
        <v>1000</v>
      </c>
      <c r="D38" s="4207" t="str">
        <f>"g = "&amp;1*FIXED(C38*1/0.85,0)&amp;"g INVERT Sugar"</f>
        <v>g = 1176g INVERT Sugar</v>
      </c>
      <c r="E38" s="4208"/>
      <c r="F38" s="4208"/>
      <c r="G38" s="4208"/>
      <c r="H38" s="4209"/>
      <c r="I38" s="492"/>
      <c r="J38" s="4163" t="s">
        <v>1110</v>
      </c>
      <c r="K38" s="4164"/>
      <c r="L38" s="4165"/>
      <c r="M38" s="3763">
        <v>303</v>
      </c>
      <c r="N38" s="4219"/>
      <c r="O38" s="492"/>
      <c r="P38" s="492"/>
      <c r="Q38" s="492"/>
      <c r="R38" s="492"/>
      <c r="S38" s="492"/>
      <c r="T38" s="1162"/>
    </row>
    <row r="39" spans="1:20" ht="15" customHeight="1">
      <c r="A39" s="492"/>
      <c r="B39" s="492"/>
      <c r="C39" s="344"/>
      <c r="D39" s="492"/>
      <c r="E39" s="492"/>
      <c r="F39" s="492"/>
      <c r="G39" s="492"/>
      <c r="H39" s="492"/>
      <c r="I39" s="492"/>
      <c r="J39" s="344"/>
      <c r="K39" s="344"/>
      <c r="L39" s="344"/>
      <c r="M39" s="344"/>
      <c r="N39" s="344"/>
      <c r="O39" s="492"/>
      <c r="P39" s="492"/>
      <c r="Q39" s="492"/>
      <c r="R39" s="492"/>
      <c r="S39" s="492"/>
      <c r="T39" s="1162"/>
    </row>
    <row r="40" spans="1:20" ht="15" customHeight="1">
      <c r="A40" s="492"/>
      <c r="B40" s="1275" t="s">
        <v>1111</v>
      </c>
      <c r="C40" s="1276" t="s">
        <v>56</v>
      </c>
      <c r="D40" s="1277" t="s">
        <v>1112</v>
      </c>
      <c r="E40" s="1277" t="s">
        <v>58</v>
      </c>
      <c r="F40" s="4166" t="s">
        <v>1113</v>
      </c>
      <c r="G40" s="4167"/>
      <c r="H40" s="1625"/>
      <c r="I40" s="492"/>
      <c r="J40" s="492"/>
      <c r="K40" s="492"/>
      <c r="L40" s="492"/>
      <c r="M40" s="492"/>
      <c r="N40" s="492"/>
      <c r="O40" s="492"/>
      <c r="P40" s="492"/>
      <c r="Q40" s="492"/>
      <c r="R40" s="492"/>
      <c r="S40" s="492"/>
      <c r="T40" s="1162"/>
    </row>
    <row r="41" spans="1:20" ht="15" customHeight="1">
      <c r="A41" s="492"/>
      <c r="B41" s="492"/>
      <c r="C41" s="1278">
        <f>FIXED((0.1*M36/M37)*D41,1)*10</f>
        <v>1177</v>
      </c>
      <c r="D41" s="1698">
        <v>1000</v>
      </c>
      <c r="E41" s="1278">
        <f>FIXED((0.1*M37/M36)*D41,1)*10</f>
        <v>849</v>
      </c>
      <c r="F41" s="4166"/>
      <c r="G41" s="4167"/>
      <c r="H41" s="1625"/>
      <c r="I41" s="4055" t="s">
        <v>1114</v>
      </c>
      <c r="J41" s="4055"/>
      <c r="K41" s="4055"/>
      <c r="L41" s="4055"/>
      <c r="M41" s="3513" t="s">
        <v>1115</v>
      </c>
      <c r="N41" s="4168" t="s">
        <v>1116</v>
      </c>
      <c r="O41" s="4168"/>
      <c r="P41" s="4168"/>
      <c r="Q41" s="4168"/>
      <c r="R41" s="344"/>
      <c r="S41" s="344"/>
      <c r="T41" s="1162"/>
    </row>
    <row r="42" spans="1:20" ht="15" customHeight="1">
      <c r="A42" s="344"/>
      <c r="B42" s="344"/>
      <c r="C42" s="568"/>
      <c r="D42" s="568"/>
      <c r="E42" s="568"/>
      <c r="F42" s="3487"/>
      <c r="G42" s="3487"/>
      <c r="H42" s="568"/>
      <c r="I42" s="4226" t="s">
        <v>1781</v>
      </c>
      <c r="J42" s="4227"/>
      <c r="K42" s="3424" t="s">
        <v>1117</v>
      </c>
      <c r="L42" s="1279" t="s">
        <v>1118</v>
      </c>
      <c r="M42" s="1280"/>
      <c r="N42" s="4228"/>
      <c r="O42" s="4022"/>
      <c r="P42" s="3424" t="s">
        <v>1117</v>
      </c>
      <c r="Q42" s="3425" t="s">
        <v>1118</v>
      </c>
      <c r="R42" s="4169" t="s">
        <v>1119</v>
      </c>
      <c r="S42" s="1281"/>
      <c r="T42" s="1162"/>
    </row>
    <row r="43" spans="1:20" ht="15" customHeight="1">
      <c r="A43" s="344"/>
      <c r="B43" s="344"/>
      <c r="C43" s="1610" t="s">
        <v>56</v>
      </c>
      <c r="D43" s="1610" t="s">
        <v>1120</v>
      </c>
      <c r="E43" s="1610" t="s">
        <v>58</v>
      </c>
      <c r="F43" s="4170" t="s">
        <v>1121</v>
      </c>
      <c r="G43" s="4171"/>
      <c r="H43" s="1282"/>
      <c r="I43" s="4172" t="s">
        <v>1122</v>
      </c>
      <c r="J43" s="3937"/>
      <c r="K43" s="1700">
        <v>20</v>
      </c>
      <c r="L43" s="1701">
        <v>68</v>
      </c>
      <c r="M43" s="1280"/>
      <c r="N43" s="4172" t="s">
        <v>1122</v>
      </c>
      <c r="O43" s="3937"/>
      <c r="P43" s="1700">
        <v>20</v>
      </c>
      <c r="Q43" s="1701">
        <v>68</v>
      </c>
      <c r="R43" s="4169"/>
      <c r="S43" s="1281"/>
      <c r="T43" s="1162"/>
    </row>
    <row r="44" spans="1:20" ht="15" customHeight="1">
      <c r="A44" s="344"/>
      <c r="B44" s="344"/>
      <c r="C44" s="1610">
        <f>FIXED((0.1*M35/M37)*D44,1)*10</f>
        <v>968</v>
      </c>
      <c r="D44" s="1699">
        <v>1000</v>
      </c>
      <c r="E44" s="1610">
        <f>FIXED(0.1*D44*M35/M36,1)*10</f>
        <v>822</v>
      </c>
      <c r="F44" s="4170"/>
      <c r="G44" s="4171"/>
      <c r="H44" s="1282"/>
      <c r="I44" s="4173" t="s">
        <v>1123</v>
      </c>
      <c r="J44" s="4174"/>
      <c r="K44" s="1702">
        <v>24</v>
      </c>
      <c r="L44" s="1703">
        <v>75.2</v>
      </c>
      <c r="M44" s="1280"/>
      <c r="N44" s="4173" t="s">
        <v>1123</v>
      </c>
      <c r="O44" s="4174"/>
      <c r="P44" s="1702">
        <v>24</v>
      </c>
      <c r="Q44" s="1703">
        <v>75.2</v>
      </c>
      <c r="R44" s="4169"/>
      <c r="S44" s="1281"/>
      <c r="T44" s="1162"/>
    </row>
    <row r="45" spans="1:20" ht="15" customHeight="1">
      <c r="A45" s="344"/>
      <c r="B45" s="344"/>
      <c r="C45" s="1280"/>
      <c r="D45" s="1280"/>
      <c r="E45" s="1280"/>
      <c r="F45" s="1283"/>
      <c r="G45" s="1283"/>
      <c r="H45" s="1284"/>
      <c r="I45" s="4175" t="s">
        <v>1124</v>
      </c>
      <c r="J45" s="3962"/>
      <c r="K45" s="1700">
        <v>1079</v>
      </c>
      <c r="L45" s="1704">
        <v>1079</v>
      </c>
      <c r="M45" s="1280"/>
      <c r="N45" s="4175" t="s">
        <v>1124</v>
      </c>
      <c r="O45" s="3962"/>
      <c r="P45" s="1700">
        <v>79</v>
      </c>
      <c r="Q45" s="1704">
        <v>79</v>
      </c>
      <c r="R45" s="4169"/>
      <c r="S45" s="1281"/>
      <c r="T45" s="1162"/>
    </row>
    <row r="46" spans="1:20" ht="15" customHeight="1">
      <c r="A46" s="344"/>
      <c r="B46" s="344"/>
      <c r="C46" s="1610" t="s">
        <v>1125</v>
      </c>
      <c r="D46" s="1610" t="s">
        <v>1126</v>
      </c>
      <c r="E46" s="1610" t="s">
        <v>1127</v>
      </c>
      <c r="F46" s="4170" t="s">
        <v>1128</v>
      </c>
      <c r="G46" s="4171"/>
      <c r="H46" s="1285"/>
      <c r="I46" s="4223" t="s">
        <v>1129</v>
      </c>
      <c r="J46" s="4022"/>
      <c r="K46" s="1286">
        <f>1*FIXED(K45*((1.00130346-0.000134722124*(((K44+40)*9/5)-40)+0.00000204052596*POWER((((K44+40)*9/5)-40),2)-0.00000000232820948*POWER((((K44+40)*9/5)-40),3))/(1.00130346-0.000134722124*(((K43+40)*9/5)-40)+0.00000204052596*POWER((((K43+40)*9/5)-40),2)-0.00000000232820948*POWER((((K43+40)*9/5)-40),3))),1)</f>
        <v>1079.9000000000001</v>
      </c>
      <c r="L46" s="1287">
        <f>1*FIXED((L45)*((1.00130346-0.000134722124*L44+0.00000204052596*POWER(L44,2)-0.00000000232820948*POWER(L44,3))/(1.00130346-0.000134722124*L43+0.00000204052596*POWER(L43,2)-0.00000000232820948*POWER(L43,3))),1)</f>
        <v>1079.9000000000001</v>
      </c>
      <c r="M46" s="1280"/>
      <c r="N46" s="4223" t="s">
        <v>1129</v>
      </c>
      <c r="O46" s="4022"/>
      <c r="P46" s="1288">
        <f>FIXED((1000+P45)*((1.00130346-0.000134722124*(((P44+40)*9/5)-40)+0.00000204052596*(((P44+40)*9/5)-40)^2-0.00000000232820948*(((P44+40)*9/5)-40)^3)/(1.00130346-0.000134722124*(((P43+40)*9/5)-40)+0.00000204052596*(((P43+40)*9/5)-40)^2-0.00000000232820948*(((P43+40)*9/5)-40)^3)),1)-1000</f>
        <v>79.900000000000091</v>
      </c>
      <c r="Q46" s="1287">
        <f>FIXED((1000+Q45)*((1.00130346-0.000134722124*Q44+0.00000204052596*POWER(Q44,2)-0.00000000232820948*POWER(Q44,3))/(1.00130346-0.000134722124*Q43+0.00000204052596*POWER(Q43,2)-0.00000000232820948*POWER(Q43,3))),1)-1000</f>
        <v>79.900000000000091</v>
      </c>
      <c r="R46" s="4169"/>
      <c r="S46" s="1281"/>
      <c r="T46" s="1162"/>
    </row>
    <row r="47" spans="1:20" ht="15" customHeight="1">
      <c r="A47" s="344"/>
      <c r="B47" s="344"/>
      <c r="C47" s="1289">
        <f>D47/0.85</f>
        <v>1176.4705882352941</v>
      </c>
      <c r="D47" s="1699">
        <v>1000</v>
      </c>
      <c r="E47" s="1610">
        <f>D47*0.85</f>
        <v>850</v>
      </c>
      <c r="F47" s="4170"/>
      <c r="G47" s="4171"/>
      <c r="H47" s="1285"/>
      <c r="I47" s="1290"/>
      <c r="J47" s="1290"/>
      <c r="K47" s="4224" t="s">
        <v>1130</v>
      </c>
      <c r="L47" s="4224"/>
      <c r="M47" s="1291"/>
      <c r="N47" s="4225" t="s">
        <v>1131</v>
      </c>
      <c r="O47" s="4225"/>
      <c r="P47" s="4225"/>
      <c r="Q47" s="1291"/>
      <c r="R47" s="1280"/>
      <c r="S47" s="1280"/>
      <c r="T47" s="1162"/>
    </row>
    <row r="48" spans="1:20" ht="15" customHeight="1">
      <c r="A48" s="1290"/>
      <c r="B48" s="1290"/>
      <c r="C48" s="1290"/>
      <c r="D48" s="1290"/>
      <c r="E48" s="1290"/>
      <c r="F48" s="514"/>
      <c r="G48" s="514"/>
      <c r="H48" s="514"/>
      <c r="I48" s="1290"/>
      <c r="J48" s="1290"/>
      <c r="K48" s="1290"/>
      <c r="L48" s="1292"/>
      <c r="M48" s="1293"/>
      <c r="N48" s="1293"/>
      <c r="O48" s="1293"/>
      <c r="P48" s="1293"/>
      <c r="Q48" s="1293"/>
      <c r="R48" s="1293"/>
      <c r="S48" s="1293"/>
      <c r="T48" s="1162"/>
    </row>
    <row r="49" spans="1:20" ht="15" customHeight="1">
      <c r="A49" s="3972" t="s">
        <v>1132</v>
      </c>
      <c r="B49" s="3972"/>
      <c r="C49" s="363"/>
      <c r="D49" s="363"/>
      <c r="E49" s="363"/>
      <c r="F49" s="363"/>
      <c r="G49" s="363"/>
      <c r="H49" s="363"/>
      <c r="I49" s="363"/>
      <c r="J49" s="363"/>
      <c r="K49" s="363"/>
      <c r="L49" s="363"/>
      <c r="M49" s="363"/>
      <c r="N49" s="363"/>
      <c r="O49" s="363"/>
      <c r="P49" s="363"/>
      <c r="Q49" s="363"/>
      <c r="R49" s="492"/>
      <c r="S49" s="492"/>
      <c r="T49" s="1162"/>
    </row>
    <row r="50" spans="1:20" ht="15" customHeight="1">
      <c r="A50" s="363"/>
      <c r="B50" s="363"/>
      <c r="C50" s="4212" t="s">
        <v>1133</v>
      </c>
      <c r="D50" s="4212"/>
      <c r="E50" s="4212"/>
      <c r="F50" s="1294"/>
      <c r="G50" s="1295"/>
      <c r="H50" s="1295"/>
      <c r="I50" s="1295"/>
      <c r="J50" s="3424" t="s">
        <v>1117</v>
      </c>
      <c r="K50" s="4213" t="s">
        <v>1134</v>
      </c>
      <c r="L50" s="4022"/>
      <c r="M50" s="3425" t="s">
        <v>1118</v>
      </c>
      <c r="N50" s="1296"/>
      <c r="O50" s="1297"/>
      <c r="P50" s="1297"/>
      <c r="Q50" s="492"/>
      <c r="R50" s="1135"/>
      <c r="S50" s="492"/>
      <c r="T50" s="1162"/>
    </row>
    <row r="51" spans="1:20" ht="15" customHeight="1">
      <c r="A51" s="363"/>
      <c r="B51" s="363"/>
      <c r="C51" s="4158" t="s">
        <v>1135</v>
      </c>
      <c r="D51" s="4159"/>
      <c r="E51" s="1705">
        <v>1079</v>
      </c>
      <c r="F51" s="1294"/>
      <c r="G51" s="1298"/>
      <c r="H51" s="1295"/>
      <c r="I51" s="1295"/>
      <c r="J51" s="1708">
        <v>20</v>
      </c>
      <c r="K51" s="4160" t="s">
        <v>1122</v>
      </c>
      <c r="L51" s="4022"/>
      <c r="M51" s="1711">
        <v>68</v>
      </c>
      <c r="N51" s="4214" t="s">
        <v>1136</v>
      </c>
      <c r="O51" s="4101"/>
      <c r="P51" s="4101"/>
      <c r="Q51" s="4101"/>
      <c r="R51" s="492"/>
      <c r="S51" s="492"/>
      <c r="T51" s="1162"/>
    </row>
    <row r="52" spans="1:20" ht="15" customHeight="1">
      <c r="A52" s="363"/>
      <c r="B52" s="363"/>
      <c r="C52" s="4178" t="s">
        <v>1137</v>
      </c>
      <c r="D52" s="4179"/>
      <c r="E52" s="1706">
        <v>993</v>
      </c>
      <c r="F52" s="1294"/>
      <c r="G52" s="1295"/>
      <c r="H52" s="1295"/>
      <c r="I52" s="1295"/>
      <c r="J52" s="1709">
        <v>20</v>
      </c>
      <c r="K52" s="4180" t="s">
        <v>1123</v>
      </c>
      <c r="L52" s="4181"/>
      <c r="M52" s="1712">
        <v>70</v>
      </c>
      <c r="N52" s="4147"/>
      <c r="O52" s="4101"/>
      <c r="P52" s="4101"/>
      <c r="Q52" s="4101"/>
      <c r="R52" s="492"/>
      <c r="S52" s="492"/>
      <c r="T52" s="1162"/>
    </row>
    <row r="53" spans="1:20" ht="15" customHeight="1">
      <c r="A53" s="363"/>
      <c r="B53" s="363"/>
      <c r="C53" s="4140" t="s">
        <v>1138</v>
      </c>
      <c r="D53" s="4141"/>
      <c r="E53" s="1299">
        <f>(E51-E52)/(7.75-3*(E51-1000)/800)</f>
        <v>11.537816535301022</v>
      </c>
      <c r="F53" s="1300"/>
      <c r="G53" s="1301"/>
      <c r="H53" s="1301"/>
      <c r="I53" s="1302"/>
      <c r="J53" s="1710">
        <v>1040</v>
      </c>
      <c r="K53" s="4142" t="s">
        <v>1139</v>
      </c>
      <c r="L53" s="4143"/>
      <c r="M53" s="1713">
        <v>1040</v>
      </c>
      <c r="N53" s="4147"/>
      <c r="O53" s="4101"/>
      <c r="P53" s="4101"/>
      <c r="Q53" s="4101"/>
      <c r="R53" s="492"/>
      <c r="S53" s="492"/>
      <c r="T53" s="1162"/>
    </row>
    <row r="54" spans="1:20" ht="15" customHeight="1" thickBot="1">
      <c r="A54" s="363"/>
      <c r="B54" s="363"/>
      <c r="C54" s="4144" t="s">
        <v>1855</v>
      </c>
      <c r="D54" s="4144"/>
      <c r="E54" s="4144"/>
      <c r="F54" s="1303"/>
      <c r="G54" s="1303"/>
      <c r="H54" s="1303"/>
      <c r="I54" s="1303"/>
      <c r="J54" s="1304">
        <f>1*FIXED(J53*((1.00130346-0.000134722124*(((J52+40)*9/5)-40)+0.00000204052596*(((J52+40)*9/5)-40)^2-0.00000000232820948*(((J52+40)*9/5)-40)^3)/(1.00130346-0.000134722124*(((J51+40)*9/5)-40)+0.00000204052596*(((J51+40)*9/5)-40)^2-0.00000000232820948*(((J51+40)*9/5)-40)^3)),1)</f>
        <v>1040</v>
      </c>
      <c r="K54" s="4153" t="s">
        <v>1140</v>
      </c>
      <c r="L54" s="4154"/>
      <c r="M54" s="3568">
        <f>1*FIXED(M53*((1.00130346-0.000134722124*M52+0.00000204052596*M52^2-0.00000000232820948*M52^3)/(1.00130346-0.000134722124*M51+0.00000204052596*M51^2-0.00000000232820948*M51^3)),1)</f>
        <v>1040.2</v>
      </c>
      <c r="N54" s="1305"/>
      <c r="O54" s="1294"/>
      <c r="P54" s="1294"/>
      <c r="Q54" s="1306"/>
      <c r="R54" s="492"/>
      <c r="S54" s="492"/>
      <c r="T54" s="1162"/>
    </row>
    <row r="55" spans="1:20" ht="15" customHeight="1" thickTop="1">
      <c r="A55" s="363"/>
      <c r="B55" s="363"/>
      <c r="C55" s="4145"/>
      <c r="D55" s="4145"/>
      <c r="E55" s="4145"/>
      <c r="F55" s="514"/>
      <c r="G55" s="3417"/>
      <c r="H55" s="3417"/>
      <c r="I55" s="1295"/>
      <c r="J55" s="3424" t="s">
        <v>1117</v>
      </c>
      <c r="K55" s="4157" t="s">
        <v>1137</v>
      </c>
      <c r="L55" s="4156"/>
      <c r="M55" s="3425" t="s">
        <v>1118</v>
      </c>
      <c r="N55" s="1305"/>
      <c r="O55" s="1294"/>
      <c r="P55" s="1294"/>
      <c r="Q55" s="492"/>
      <c r="R55" s="492"/>
      <c r="S55" s="492"/>
      <c r="T55" s="1162"/>
    </row>
    <row r="56" spans="1:20" ht="15" customHeight="1">
      <c r="A56" s="363"/>
      <c r="B56" s="363"/>
      <c r="C56" s="4145"/>
      <c r="D56" s="4145"/>
      <c r="E56" s="4145"/>
      <c r="F56" s="514"/>
      <c r="G56" s="3417"/>
      <c r="H56" s="3417"/>
      <c r="I56" s="1307"/>
      <c r="J56" s="1708">
        <f>J51</f>
        <v>20</v>
      </c>
      <c r="K56" s="4160" t="s">
        <v>1141</v>
      </c>
      <c r="L56" s="4022"/>
      <c r="M56" s="1711">
        <f>M51</f>
        <v>68</v>
      </c>
      <c r="N56" s="1305"/>
      <c r="O56" s="1294"/>
      <c r="P56" s="1294"/>
      <c r="Q56" s="1308"/>
      <c r="R56" s="492"/>
      <c r="S56" s="492"/>
      <c r="T56" s="1162"/>
    </row>
    <row r="57" spans="1:20" ht="15" customHeight="1">
      <c r="A57" s="363"/>
      <c r="B57" s="363"/>
      <c r="C57" s="4158" t="s">
        <v>1135</v>
      </c>
      <c r="D57" s="4159"/>
      <c r="E57" s="1705">
        <v>79</v>
      </c>
      <c r="F57" s="4161" t="s">
        <v>1937</v>
      </c>
      <c r="G57" s="4162"/>
      <c r="H57" s="4162"/>
      <c r="I57" s="1307"/>
      <c r="J57" s="1709">
        <v>20</v>
      </c>
      <c r="K57" s="4180" t="s">
        <v>1123</v>
      </c>
      <c r="L57" s="4181"/>
      <c r="M57" s="1712">
        <v>70</v>
      </c>
      <c r="N57" s="1305"/>
      <c r="O57" s="1294"/>
      <c r="P57" s="1294"/>
      <c r="Q57" s="1308"/>
      <c r="R57" s="492"/>
      <c r="S57" s="492"/>
      <c r="T57" s="1162"/>
    </row>
    <row r="58" spans="1:20" ht="15" customHeight="1">
      <c r="A58" s="363"/>
      <c r="B58" s="363"/>
      <c r="C58" s="4178" t="s">
        <v>1137</v>
      </c>
      <c r="D58" s="4179"/>
      <c r="E58" s="1707">
        <v>-7</v>
      </c>
      <c r="F58" s="4161"/>
      <c r="G58" s="4162"/>
      <c r="H58" s="4162"/>
      <c r="I58" s="1307"/>
      <c r="J58" s="1710">
        <v>1010</v>
      </c>
      <c r="K58" s="4142" t="s">
        <v>1142</v>
      </c>
      <c r="L58" s="4143"/>
      <c r="M58" s="1713">
        <v>1010</v>
      </c>
      <c r="N58" s="1305"/>
      <c r="O58" s="1294"/>
      <c r="P58" s="1294"/>
      <c r="Q58" s="1309"/>
      <c r="R58" s="492"/>
      <c r="S58" s="492"/>
      <c r="T58" s="1162"/>
    </row>
    <row r="59" spans="1:20" ht="15" customHeight="1" thickBot="1">
      <c r="A59" s="363"/>
      <c r="B59" s="363"/>
      <c r="C59" s="4140" t="s">
        <v>1138</v>
      </c>
      <c r="D59" s="4141"/>
      <c r="E59" s="1608">
        <f>(E57-E58)/(7.75-3*E57/800)</f>
        <v>11.537816535301022</v>
      </c>
      <c r="F59" s="4161"/>
      <c r="G59" s="4162"/>
      <c r="H59" s="4162"/>
      <c r="I59" s="1294"/>
      <c r="J59" s="1311">
        <f>1*FIXED(J58*((1.00130346-0.000134722124*(((J57+40)*9/5)-40)+0.00000204052596*(((J57+40)*9/5)-40)^2-0.00000000232820948*(((J57+40)*9/5)-40)^3)/(1.00130346-0.000134722124*(((J56+40)*9/5)-40)+0.00000204052596*(((J56+40)*9/5)-40)^2-0.00000000232820948*(((J56+40)*9/5)-40)^3)),1)</f>
        <v>1010</v>
      </c>
      <c r="K59" s="4153" t="s">
        <v>1143</v>
      </c>
      <c r="L59" s="4154"/>
      <c r="M59" s="1312">
        <f>1*FIXED(M58*((1.00130346-0.000134722124*M57+0.00000204052596*M57^2-0.00000000232820948*M57^3)/(1.00130346-0.000134722124*M56+0.00000204052596*M56^2-0.00000000232820948*M56^3)),1)</f>
        <v>1010.2</v>
      </c>
      <c r="N59" s="1305"/>
      <c r="O59" s="1294"/>
      <c r="P59" s="1294"/>
      <c r="Q59" s="492"/>
      <c r="R59" s="492"/>
      <c r="S59" s="492"/>
      <c r="T59" s="1162"/>
    </row>
    <row r="60" spans="1:20" ht="15" customHeight="1" thickTop="1">
      <c r="A60" s="363"/>
      <c r="B60" s="363"/>
      <c r="C60" s="1310"/>
      <c r="D60" s="1310"/>
      <c r="E60" s="1310"/>
      <c r="F60" s="3417"/>
      <c r="G60" s="3417"/>
      <c r="H60" s="3417"/>
      <c r="I60" s="1294"/>
      <c r="J60" s="1313" t="str">
        <f>FIXED((J54-J59)/(7.75-3*(J54-1000)/800),2)&amp;"%"</f>
        <v>3.95%</v>
      </c>
      <c r="K60" s="4155" t="s">
        <v>1144</v>
      </c>
      <c r="L60" s="4156"/>
      <c r="M60" s="1314" t="str">
        <f>FIXED((M54-M59)/(7.75-3*(M54-1000)/800),2)&amp;"%"</f>
        <v>3.95%</v>
      </c>
      <c r="N60" s="1305"/>
      <c r="O60" s="1294"/>
      <c r="P60" s="1294"/>
      <c r="Q60" s="492"/>
      <c r="R60" s="492"/>
      <c r="S60" s="492"/>
      <c r="T60" s="1162"/>
    </row>
    <row r="61" spans="1:20" ht="15" customHeight="1">
      <c r="A61" s="1315"/>
      <c r="B61" s="1316"/>
      <c r="C61" s="1294"/>
      <c r="D61" s="1294"/>
      <c r="E61" s="1294"/>
      <c r="F61" s="1294"/>
      <c r="G61" s="1294"/>
      <c r="H61" s="1294"/>
      <c r="I61" s="1294"/>
      <c r="J61" s="1317"/>
      <c r="K61" s="1294"/>
      <c r="L61" s="1294"/>
      <c r="M61" s="1294"/>
      <c r="N61" s="1294"/>
      <c r="O61" s="1294"/>
      <c r="P61" s="1294"/>
      <c r="Q61" s="363"/>
      <c r="R61" s="492"/>
      <c r="S61" s="492"/>
      <c r="T61" s="1162"/>
    </row>
    <row r="62" spans="1:20" ht="15" customHeight="1">
      <c r="A62" s="1315"/>
      <c r="B62" s="1316"/>
      <c r="C62" s="1316"/>
      <c r="D62" s="1316"/>
      <c r="E62" s="1316"/>
      <c r="F62" s="1318"/>
      <c r="G62" s="1887"/>
      <c r="H62" s="492"/>
      <c r="I62" s="3486"/>
      <c r="J62" s="3486"/>
      <c r="K62" s="3486"/>
      <c r="L62" s="3486"/>
      <c r="M62" s="1309"/>
      <c r="N62" s="1309"/>
      <c r="O62" s="1309"/>
      <c r="P62" s="1309"/>
      <c r="Q62" s="1309"/>
      <c r="R62" s="492"/>
      <c r="S62" s="492"/>
      <c r="T62" s="1162"/>
    </row>
    <row r="63" spans="1:20" ht="15" customHeight="1">
      <c r="A63" s="4015" t="s">
        <v>1145</v>
      </c>
      <c r="B63" s="4122"/>
      <c r="C63" s="4035" t="s">
        <v>1146</v>
      </c>
      <c r="D63" s="4037"/>
      <c r="E63" s="4035" t="s">
        <v>1147</v>
      </c>
      <c r="F63" s="4037"/>
      <c r="G63" s="4035" t="s">
        <v>1148</v>
      </c>
      <c r="H63" s="4037"/>
      <c r="I63" s="4136" t="s">
        <v>1149</v>
      </c>
      <c r="J63" s="4137"/>
      <c r="K63" s="4035" t="s">
        <v>1150</v>
      </c>
      <c r="L63" s="4037"/>
      <c r="M63" s="4146" t="s">
        <v>1860</v>
      </c>
      <c r="N63" s="4101"/>
      <c r="O63" s="4101"/>
      <c r="P63" s="4101"/>
      <c r="Q63" s="4101"/>
      <c r="R63" s="492"/>
      <c r="S63" s="492"/>
      <c r="T63" s="1162"/>
    </row>
    <row r="64" spans="1:20" ht="15" customHeight="1">
      <c r="A64" s="530"/>
      <c r="B64" s="530"/>
      <c r="C64" s="4148">
        <v>80</v>
      </c>
      <c r="D64" s="4149"/>
      <c r="E64" s="4148">
        <v>36</v>
      </c>
      <c r="F64" s="4149"/>
      <c r="G64" s="4148">
        <v>4.3</v>
      </c>
      <c r="H64" s="4149"/>
      <c r="I64" s="4150">
        <f>K64-G64</f>
        <v>5.2555555555555555</v>
      </c>
      <c r="J64" s="4151"/>
      <c r="K64" s="4152">
        <f>G64*C64/E64</f>
        <v>9.5555555555555554</v>
      </c>
      <c r="L64" s="4022"/>
      <c r="M64" s="4147"/>
      <c r="N64" s="4101"/>
      <c r="O64" s="4101"/>
      <c r="P64" s="4101"/>
      <c r="Q64" s="4101"/>
      <c r="R64" s="492"/>
      <c r="S64" s="492"/>
      <c r="T64" s="1162"/>
    </row>
    <row r="65" spans="1:20" ht="15" customHeight="1">
      <c r="A65" s="530"/>
      <c r="B65" s="530"/>
      <c r="C65" s="4124" t="s">
        <v>1151</v>
      </c>
      <c r="D65" s="4124"/>
      <c r="E65" s="4126" t="s">
        <v>1152</v>
      </c>
      <c r="F65" s="4126"/>
      <c r="G65" s="4126"/>
      <c r="H65" s="4126"/>
      <c r="I65" s="4126"/>
      <c r="J65" s="4126"/>
      <c r="K65" s="4126"/>
      <c r="L65" s="4126"/>
      <c r="M65" s="1284"/>
      <c r="N65" s="530"/>
      <c r="O65" s="530"/>
      <c r="P65" s="643"/>
      <c r="Q65" s="1309"/>
      <c r="R65" s="492"/>
      <c r="S65" s="492"/>
      <c r="T65" s="1162"/>
    </row>
    <row r="66" spans="1:20" ht="15" customHeight="1">
      <c r="A66" s="4128"/>
      <c r="B66" s="4128"/>
      <c r="C66" s="4125"/>
      <c r="D66" s="4125"/>
      <c r="E66" s="4127"/>
      <c r="F66" s="4127"/>
      <c r="G66" s="4127"/>
      <c r="H66" s="4127"/>
      <c r="I66" s="4127"/>
      <c r="J66" s="4127"/>
      <c r="K66" s="4127"/>
      <c r="L66" s="4127"/>
      <c r="M66" s="1319"/>
      <c r="N66" s="1319"/>
      <c r="O66" s="1319"/>
      <c r="P66" s="1319"/>
      <c r="Q66" s="1319"/>
      <c r="R66" s="492"/>
      <c r="S66" s="1319"/>
      <c r="T66" s="1162"/>
    </row>
    <row r="67" spans="1:20" ht="15" customHeight="1">
      <c r="A67" s="4129" t="s">
        <v>1153</v>
      </c>
      <c r="B67" s="4130"/>
      <c r="C67" s="4131" t="s">
        <v>1154</v>
      </c>
      <c r="D67" s="4132"/>
      <c r="E67" s="1714">
        <v>80</v>
      </c>
      <c r="F67" s="4133" t="s">
        <v>1155</v>
      </c>
      <c r="G67" s="4134"/>
      <c r="H67" s="1714">
        <v>4.3</v>
      </c>
      <c r="I67" s="4133" t="str">
        <f>"litres is eqiuvalent to a SG of "&amp;FIXED((1000*(E67)/1000*H67/M67),1)&amp;" for"</f>
        <v>litres is eqiuvalent to a SG of 36.0 for</v>
      </c>
      <c r="J67" s="4135"/>
      <c r="K67" s="4135"/>
      <c r="L67" s="4134"/>
      <c r="M67" s="1714">
        <v>9.56</v>
      </c>
      <c r="N67" s="4138" t="s">
        <v>1859</v>
      </c>
      <c r="O67" s="4139"/>
      <c r="P67" s="1320"/>
      <c r="Q67" s="1319"/>
      <c r="R67" s="492"/>
      <c r="S67" s="492"/>
      <c r="T67" s="1162"/>
    </row>
    <row r="68" spans="1:20" ht="15" customHeight="1">
      <c r="A68" s="1321"/>
      <c r="B68" s="514"/>
      <c r="C68" s="4203"/>
      <c r="D68" s="4203"/>
      <c r="E68" s="1322"/>
      <c r="F68" s="1322"/>
      <c r="G68" s="1322"/>
      <c r="H68" s="1322"/>
      <c r="I68" s="492"/>
      <c r="J68" s="492"/>
      <c r="K68" s="492"/>
      <c r="L68" s="492"/>
      <c r="M68" s="492"/>
      <c r="N68" s="492"/>
      <c r="O68" s="492"/>
      <c r="P68" s="492"/>
      <c r="Q68" s="1319"/>
      <c r="R68" s="492"/>
      <c r="S68" s="492"/>
      <c r="T68" s="1162"/>
    </row>
    <row r="69" spans="1:20" ht="15" customHeight="1">
      <c r="A69" s="1321"/>
      <c r="B69" s="514"/>
      <c r="C69" s="530"/>
      <c r="D69" s="514"/>
      <c r="E69" s="1323"/>
      <c r="F69" s="1323"/>
      <c r="G69" s="1323"/>
      <c r="H69" s="1323"/>
      <c r="I69" s="492"/>
      <c r="J69" s="492"/>
      <c r="K69" s="492"/>
      <c r="L69" s="492"/>
      <c r="M69" s="492"/>
      <c r="N69" s="492"/>
      <c r="O69" s="492"/>
      <c r="P69" s="492"/>
      <c r="Q69" s="1319"/>
      <c r="R69" s="492"/>
      <c r="S69" s="492"/>
      <c r="T69" s="1162"/>
    </row>
    <row r="70" spans="1:20" ht="15" customHeight="1">
      <c r="A70" s="4121" t="s">
        <v>1025</v>
      </c>
      <c r="B70" s="4122"/>
      <c r="C70" s="1610" t="s">
        <v>1156</v>
      </c>
      <c r="D70" s="3930" t="s">
        <v>1157</v>
      </c>
      <c r="E70" s="3931"/>
      <c r="F70" s="1324" t="s">
        <v>1158</v>
      </c>
      <c r="G70" s="1887"/>
      <c r="H70" s="1325" t="s">
        <v>1115</v>
      </c>
      <c r="I70" s="1610" t="s">
        <v>1156</v>
      </c>
      <c r="J70" s="3930" t="s">
        <v>1157</v>
      </c>
      <c r="K70" s="4022"/>
      <c r="L70" s="1324" t="s">
        <v>1158</v>
      </c>
      <c r="M70" s="1326"/>
      <c r="N70" s="4123" t="s">
        <v>1159</v>
      </c>
      <c r="O70" s="4071"/>
      <c r="P70" s="4071"/>
      <c r="Q70" s="4071"/>
      <c r="R70" s="1327"/>
      <c r="S70" s="1327"/>
      <c r="T70" s="1162"/>
    </row>
    <row r="71" spans="1:20" ht="15" customHeight="1">
      <c r="A71" s="4108" t="s">
        <v>1160</v>
      </c>
      <c r="B71" s="4109"/>
      <c r="C71" s="1715">
        <v>1088</v>
      </c>
      <c r="D71" s="4110">
        <f>(-616.868)+(1111.14*(C71/1000))-(630.272*POWER((C71/1000),2))+(135.997*POWER((C71/1000),3))</f>
        <v>21.123990083584005</v>
      </c>
      <c r="E71" s="4111"/>
      <c r="F71" s="1328">
        <f>145.14-(145140/C71)</f>
        <v>11.739264705882334</v>
      </c>
      <c r="G71" s="4112" t="s">
        <v>1676</v>
      </c>
      <c r="H71" s="4113"/>
      <c r="I71" s="1716">
        <v>17</v>
      </c>
      <c r="J71" s="4114">
        <f>(-616.868)+(1111.14*((I71+1000)/1000))-(630.272*POWER(((I71+1000)/1000),2))+(135.997*POWER(((I71+1000)/1000),3))</f>
        <v>4.3294079442609643</v>
      </c>
      <c r="K71" s="4115"/>
      <c r="L71" s="1609">
        <f>145.14-((145140/(I71+1000)))</f>
        <v>2.4261356932153149</v>
      </c>
      <c r="M71" s="1326"/>
      <c r="N71" s="4116" t="s">
        <v>1720</v>
      </c>
      <c r="O71" s="4117"/>
      <c r="P71" s="3937"/>
      <c r="Q71" s="1717">
        <v>1088</v>
      </c>
      <c r="R71" s="1887"/>
      <c r="S71" s="1887"/>
      <c r="T71" s="1162"/>
    </row>
    <row r="72" spans="1:20" ht="15" customHeight="1">
      <c r="A72" s="492"/>
      <c r="B72" s="492"/>
      <c r="C72" s="1608">
        <f>1000*(1+(D72/(258.6-((D72/258.2)*227.1))))</f>
        <v>1049.2194519053937</v>
      </c>
      <c r="D72" s="4118">
        <v>12.2</v>
      </c>
      <c r="E72" s="4119"/>
      <c r="F72" s="1608">
        <f>145.14-(145140/C72)</f>
        <v>6.8085958915227707</v>
      </c>
      <c r="G72" s="4112"/>
      <c r="H72" s="4113"/>
      <c r="I72" s="1608">
        <f>1000*((J72/(258.6-((J72/258.2)*227.1))))</f>
        <v>20.069709479821693</v>
      </c>
      <c r="J72" s="4118">
        <v>5.0999999999999996</v>
      </c>
      <c r="K72" s="4119"/>
      <c r="L72" s="1329">
        <f>145.14-((145140/(I72+1000)))</f>
        <v>2.8556064422172938</v>
      </c>
      <c r="M72" s="1326"/>
      <c r="N72" s="4120" t="s">
        <v>1721</v>
      </c>
      <c r="O72" s="4071"/>
      <c r="P72" s="3962"/>
      <c r="Q72" s="1718">
        <v>21.2</v>
      </c>
      <c r="R72" s="1887"/>
      <c r="S72" s="1887"/>
      <c r="T72" s="1162"/>
    </row>
    <row r="73" spans="1:20" ht="15" customHeight="1">
      <c r="A73" s="492"/>
      <c r="B73" s="492"/>
      <c r="C73" s="1608">
        <f>1000*145.14/(145.14-F73)</f>
        <v>1063.7642919964819</v>
      </c>
      <c r="D73" s="4110">
        <f>(-616.868)+(1111.14*(C73/1000))-(630.272*POWER((C73/1000),2))+(135.997*POWER((C73/1000),3))</f>
        <v>15.617106353030067</v>
      </c>
      <c r="E73" s="4111"/>
      <c r="F73" s="1715">
        <v>8.6999999999999993</v>
      </c>
      <c r="G73" s="4112"/>
      <c r="H73" s="4113"/>
      <c r="I73" s="1608">
        <f>1000*(145.14/(145.14-L73)-1)</f>
        <v>63.764291996481816</v>
      </c>
      <c r="J73" s="4114">
        <f>(-616.868)+(1111.14*((I73+1000)/1000))-(630.272*POWER(((I73+1000)/1000),2))+(135.997*POWER(((I73+1000)/1000),3))</f>
        <v>15.617106353030067</v>
      </c>
      <c r="K73" s="4115"/>
      <c r="L73" s="1715">
        <v>8.6999999999999993</v>
      </c>
      <c r="M73" s="1326"/>
      <c r="N73" s="4099" t="s">
        <v>1722</v>
      </c>
      <c r="O73" s="4021"/>
      <c r="P73" s="4022"/>
      <c r="Q73" s="1330">
        <f>Q72*Q72/((0.66872*Q71)-463.37-(205.347*((Q71/1000)^2)))</f>
        <v>21.281229215193925</v>
      </c>
      <c r="R73" s="4100"/>
      <c r="S73" s="4101"/>
      <c r="T73" s="4101"/>
    </row>
    <row r="74" spans="1:20" ht="15" customHeight="1">
      <c r="A74" s="492"/>
      <c r="B74" s="524"/>
      <c r="C74" s="4102" t="s">
        <v>1161</v>
      </c>
      <c r="D74" s="4102"/>
      <c r="E74" s="4102"/>
      <c r="F74" s="4102"/>
      <c r="G74" s="4102"/>
      <c r="H74" s="4102"/>
      <c r="I74" s="4102"/>
      <c r="J74" s="4102"/>
      <c r="K74" s="4102"/>
      <c r="L74" s="4102"/>
      <c r="M74" s="1331"/>
      <c r="N74" s="1887"/>
      <c r="O74" s="1887"/>
      <c r="P74" s="1887"/>
      <c r="Q74" s="1887"/>
      <c r="R74" s="1887"/>
      <c r="S74" s="344"/>
      <c r="T74" s="1162"/>
    </row>
    <row r="75" spans="1:20" ht="15" customHeight="1">
      <c r="A75" s="492"/>
      <c r="B75" s="1037"/>
      <c r="C75" s="4102"/>
      <c r="D75" s="4102"/>
      <c r="E75" s="4102"/>
      <c r="F75" s="4102"/>
      <c r="G75" s="4102"/>
      <c r="H75" s="4102"/>
      <c r="I75" s="4102"/>
      <c r="J75" s="4102"/>
      <c r="K75" s="4102"/>
      <c r="L75" s="4102"/>
      <c r="M75" s="1331"/>
      <c r="N75" s="1887"/>
      <c r="O75" s="1887"/>
      <c r="P75" s="1887"/>
      <c r="Q75" s="1887"/>
      <c r="R75" s="1887"/>
      <c r="S75" s="344"/>
      <c r="T75" s="1162"/>
    </row>
    <row r="76" spans="1:20" ht="15" customHeight="1">
      <c r="A76" s="492"/>
      <c r="B76" s="1037"/>
      <c r="C76" s="4102"/>
      <c r="D76" s="4102"/>
      <c r="E76" s="4102"/>
      <c r="F76" s="4102"/>
      <c r="G76" s="4102"/>
      <c r="H76" s="4102"/>
      <c r="I76" s="4102"/>
      <c r="J76" s="4102"/>
      <c r="K76" s="4102"/>
      <c r="L76" s="4102"/>
      <c r="M76" s="1331"/>
      <c r="N76" s="1887"/>
      <c r="O76" s="1887"/>
      <c r="P76" s="1887"/>
      <c r="Q76" s="1887"/>
      <c r="R76" s="1887"/>
      <c r="S76" s="344"/>
      <c r="T76" s="1162"/>
    </row>
    <row r="77" spans="1:20" ht="15" customHeight="1">
      <c r="A77" s="492"/>
      <c r="B77" s="1037"/>
      <c r="C77" s="4103" t="s">
        <v>1162</v>
      </c>
      <c r="D77" s="4103"/>
      <c r="E77" s="4103"/>
      <c r="F77" s="4103"/>
      <c r="G77" s="4103"/>
      <c r="H77" s="4103"/>
      <c r="I77" s="4103"/>
      <c r="J77" s="4103"/>
      <c r="K77" s="4103"/>
      <c r="L77" s="4103"/>
      <c r="M77" s="1331"/>
      <c r="N77" s="1332"/>
      <c r="O77" s="1331"/>
      <c r="P77" s="1331"/>
      <c r="Q77" s="1331"/>
      <c r="R77" s="1887"/>
      <c r="S77" s="1333"/>
      <c r="T77" s="1162"/>
    </row>
    <row r="78" spans="1:20" ht="15" customHeight="1">
      <c r="A78" s="492"/>
      <c r="B78" s="1625"/>
      <c r="C78" s="1625"/>
      <c r="D78" s="1625"/>
      <c r="E78" s="1625"/>
      <c r="F78" s="1625"/>
      <c r="G78" s="1625"/>
      <c r="H78" s="1625"/>
      <c r="I78" s="1625"/>
      <c r="J78" s="1625"/>
      <c r="K78" s="1625"/>
      <c r="L78" s="1625"/>
      <c r="M78" s="1625"/>
      <c r="N78" s="1625"/>
      <c r="O78" s="1625"/>
      <c r="P78" s="1625"/>
      <c r="Q78" s="1625"/>
      <c r="R78" s="1887"/>
      <c r="S78" s="1625"/>
      <c r="T78" s="1162"/>
    </row>
    <row r="79" spans="1:20" ht="15" customHeight="1">
      <c r="A79" s="492"/>
      <c r="B79" s="492"/>
      <c r="C79" s="568"/>
      <c r="D79" s="568"/>
      <c r="E79" s="568"/>
      <c r="F79" s="568"/>
      <c r="G79" s="568"/>
      <c r="H79" s="568"/>
      <c r="I79" s="568"/>
      <c r="J79" s="568"/>
      <c r="K79" s="568"/>
      <c r="L79" s="568"/>
      <c r="M79" s="1331"/>
      <c r="N79" s="1331"/>
      <c r="O79" s="1331"/>
      <c r="P79" s="1331"/>
      <c r="Q79" s="1331"/>
      <c r="R79" s="524"/>
      <c r="S79" s="344"/>
      <c r="T79" s="1162"/>
    </row>
    <row r="80" spans="1:20" ht="15" customHeight="1">
      <c r="A80" s="4104" t="s">
        <v>1163</v>
      </c>
      <c r="B80" s="4105"/>
      <c r="C80" s="1334" t="s">
        <v>661</v>
      </c>
      <c r="D80" s="1335" t="s">
        <v>1164</v>
      </c>
      <c r="E80" s="1334" t="s">
        <v>1165</v>
      </c>
      <c r="F80" s="492"/>
      <c r="G80" s="1336" t="s">
        <v>1166</v>
      </c>
      <c r="H80" s="1337" t="s">
        <v>661</v>
      </c>
      <c r="I80" s="1338" t="s">
        <v>1167</v>
      </c>
      <c r="J80" s="1334" t="s">
        <v>1165</v>
      </c>
      <c r="K80" s="492"/>
      <c r="L80" s="4106" t="s">
        <v>1168</v>
      </c>
      <c r="M80" s="4106"/>
      <c r="N80" s="4107"/>
      <c r="O80" s="1335" t="s">
        <v>1164</v>
      </c>
      <c r="P80" s="1339" t="s">
        <v>1169</v>
      </c>
      <c r="Q80" s="1338" t="s">
        <v>1167</v>
      </c>
      <c r="R80" s="1887"/>
      <c r="S80" s="344"/>
      <c r="T80" s="1162"/>
    </row>
    <row r="81" spans="1:20" ht="15" customHeight="1">
      <c r="A81" s="492"/>
      <c r="B81" s="492"/>
      <c r="C81" s="1340">
        <f>D81*4/7</f>
        <v>40</v>
      </c>
      <c r="D81" s="1698">
        <v>70</v>
      </c>
      <c r="E81" s="1340">
        <f>100*I215/J215</f>
        <v>34.480649951952479</v>
      </c>
      <c r="F81" s="492"/>
      <c r="G81" s="568"/>
      <c r="H81" s="1340">
        <f>I81/2</f>
        <v>40</v>
      </c>
      <c r="I81" s="1698">
        <v>80</v>
      </c>
      <c r="J81" s="1341">
        <f>100*I216/J216</f>
        <v>34.480649951952479</v>
      </c>
      <c r="K81" s="492"/>
      <c r="L81" s="492"/>
      <c r="M81" s="492"/>
      <c r="N81" s="492"/>
      <c r="O81" s="1340">
        <f>P81*7/8</f>
        <v>61.25</v>
      </c>
      <c r="P81" s="1719">
        <v>70</v>
      </c>
      <c r="Q81" s="1610">
        <f>P81*8/7</f>
        <v>80</v>
      </c>
      <c r="R81" s="344"/>
      <c r="S81" s="344"/>
      <c r="T81" s="1162"/>
    </row>
    <row r="82" spans="1:20" ht="15" customHeight="1">
      <c r="A82" s="492"/>
      <c r="B82" s="492"/>
      <c r="C82" s="344"/>
      <c r="D82" s="344"/>
      <c r="E82" s="344"/>
      <c r="F82" s="344"/>
      <c r="G82" s="492"/>
      <c r="H82" s="343"/>
      <c r="I82" s="343"/>
      <c r="J82" s="343"/>
      <c r="K82" s="492"/>
      <c r="L82" s="492"/>
      <c r="M82" s="492"/>
      <c r="N82" s="530"/>
      <c r="O82" s="530"/>
      <c r="P82" s="530"/>
      <c r="Q82" s="530"/>
      <c r="R82" s="530"/>
      <c r="S82" s="530"/>
      <c r="T82" s="1162"/>
    </row>
    <row r="83" spans="1:20" ht="15" customHeight="1">
      <c r="A83" s="492"/>
      <c r="B83" s="3478" t="s">
        <v>1170</v>
      </c>
      <c r="C83" s="1334" t="s">
        <v>661</v>
      </c>
      <c r="D83" s="1334" t="s">
        <v>1165</v>
      </c>
      <c r="E83" s="1335" t="s">
        <v>1164</v>
      </c>
      <c r="F83" s="1342" t="s">
        <v>1167</v>
      </c>
      <c r="G83" s="4188" t="s">
        <v>1171</v>
      </c>
      <c r="H83" s="4189"/>
      <c r="I83" s="4190"/>
      <c r="J83" s="1277" t="s">
        <v>1165</v>
      </c>
      <c r="K83" s="1277" t="s">
        <v>661</v>
      </c>
      <c r="L83" s="1335" t="s">
        <v>1164</v>
      </c>
      <c r="M83" s="1338" t="s">
        <v>1167</v>
      </c>
      <c r="N83" s="4089" t="s">
        <v>1172</v>
      </c>
      <c r="O83" s="4090"/>
      <c r="P83" s="4090"/>
      <c r="Q83" s="4090"/>
      <c r="R83" s="4090"/>
      <c r="S83" s="1291"/>
      <c r="T83" s="1162"/>
    </row>
    <row r="84" spans="1:20" ht="15" customHeight="1">
      <c r="A84" s="492"/>
      <c r="B84" s="492"/>
      <c r="C84" s="1719">
        <v>70</v>
      </c>
      <c r="D84" s="1340">
        <f>100*I218/J218</f>
        <v>64.81268619953552</v>
      </c>
      <c r="E84" s="1343">
        <f>C84*7/4</f>
        <v>122.5</v>
      </c>
      <c r="F84" s="1340">
        <f>E84*8/7</f>
        <v>140</v>
      </c>
      <c r="G84" s="1344"/>
      <c r="H84" s="1344"/>
      <c r="I84" s="1344"/>
      <c r="J84" s="1699">
        <v>5.6</v>
      </c>
      <c r="K84" s="1286">
        <f>J84/(K220+0.00000001)</f>
        <v>7.0103316197181629</v>
      </c>
      <c r="L84" s="1343">
        <f>K84*7/4</f>
        <v>12.268080334506784</v>
      </c>
      <c r="M84" s="1340">
        <f>L84*8/7</f>
        <v>14.020663239436326</v>
      </c>
      <c r="N84" s="4089"/>
      <c r="O84" s="4090"/>
      <c r="P84" s="4090"/>
      <c r="Q84" s="4090"/>
      <c r="R84" s="4090"/>
      <c r="S84" s="530"/>
      <c r="T84" s="1162"/>
    </row>
    <row r="85" spans="1:20" ht="15" customHeight="1">
      <c r="A85" s="1345"/>
      <c r="B85" s="1345"/>
      <c r="C85" s="1345"/>
      <c r="D85" s="1345"/>
      <c r="E85" s="1345"/>
      <c r="F85" s="1345"/>
      <c r="G85" s="1345"/>
      <c r="H85" s="1345"/>
      <c r="I85" s="1345"/>
      <c r="J85" s="1345"/>
      <c r="K85" s="1345"/>
      <c r="L85" s="1345"/>
      <c r="M85" s="1345"/>
      <c r="N85" s="530"/>
      <c r="O85" s="530"/>
      <c r="P85" s="530"/>
      <c r="Q85" s="530"/>
      <c r="R85" s="530"/>
      <c r="S85" s="530"/>
      <c r="T85" s="1162"/>
    </row>
    <row r="86" spans="1:20" ht="15" customHeight="1">
      <c r="A86" s="530"/>
      <c r="B86" s="524"/>
      <c r="C86" s="4033" t="s">
        <v>1744</v>
      </c>
      <c r="D86" s="4033"/>
      <c r="E86" s="4033"/>
      <c r="F86" s="4033"/>
      <c r="G86" s="4033"/>
      <c r="H86" s="4033"/>
      <c r="I86" s="4033"/>
      <c r="J86" s="4033"/>
      <c r="K86" s="4033"/>
      <c r="L86" s="4033"/>
      <c r="M86" s="4033"/>
      <c r="N86" s="4033"/>
      <c r="O86" s="4033"/>
      <c r="P86" s="4033"/>
      <c r="Q86" s="4033"/>
      <c r="R86" s="4033"/>
      <c r="S86" s="3494"/>
      <c r="T86" s="1162"/>
    </row>
    <row r="87" spans="1:20" ht="15" customHeight="1">
      <c r="A87" s="530"/>
      <c r="B87" s="530"/>
      <c r="C87" s="530"/>
      <c r="D87" s="1346"/>
      <c r="E87" s="1346"/>
      <c r="F87" s="530"/>
      <c r="G87" s="530"/>
      <c r="H87" s="530"/>
      <c r="I87" s="530"/>
      <c r="J87" s="530"/>
      <c r="K87" s="530"/>
      <c r="L87" s="530"/>
      <c r="M87" s="530"/>
      <c r="N87" s="530"/>
      <c r="O87" s="530"/>
      <c r="P87" s="530"/>
      <c r="Q87" s="530"/>
      <c r="R87" s="530"/>
      <c r="S87" s="530"/>
      <c r="T87" s="1162"/>
    </row>
    <row r="88" spans="1:20" ht="15" customHeight="1">
      <c r="A88" s="3481"/>
      <c r="B88" s="3481"/>
      <c r="C88" s="1347"/>
      <c r="D88" s="1347"/>
      <c r="E88" s="1347"/>
      <c r="F88" s="1347"/>
      <c r="G88" s="1284"/>
      <c r="H88" s="3541"/>
      <c r="I88" s="1284"/>
      <c r="J88" s="3541"/>
      <c r="K88" s="3541"/>
      <c r="L88" s="3541"/>
      <c r="M88" s="3541"/>
      <c r="N88" s="3541"/>
      <c r="O88" s="3541"/>
      <c r="P88" s="3541"/>
      <c r="Q88" s="530"/>
      <c r="R88" s="530"/>
      <c r="S88" s="530"/>
      <c r="T88" s="1162"/>
    </row>
    <row r="89" spans="1:20" ht="15" customHeight="1">
      <c r="A89" s="4080" t="s">
        <v>1877</v>
      </c>
      <c r="B89" s="4081"/>
      <c r="C89" s="4082" t="s">
        <v>1174</v>
      </c>
      <c r="D89" s="4083"/>
      <c r="E89" s="4084" t="s">
        <v>1175</v>
      </c>
      <c r="F89" s="4085"/>
      <c r="G89" s="4086" t="s">
        <v>1173</v>
      </c>
      <c r="H89" s="3937"/>
      <c r="I89" s="530"/>
      <c r="J89" s="1348"/>
      <c r="K89" s="4097" t="s">
        <v>1173</v>
      </c>
      <c r="L89" s="4098"/>
      <c r="M89" s="1720">
        <v>44</v>
      </c>
      <c r="N89" s="4097" t="s">
        <v>1177</v>
      </c>
      <c r="O89" s="4098"/>
      <c r="P89" s="1720">
        <v>75</v>
      </c>
      <c r="Q89" s="530"/>
      <c r="R89" s="530"/>
      <c r="S89" s="530"/>
      <c r="T89" s="1162"/>
    </row>
    <row r="90" spans="1:20" ht="15" customHeight="1">
      <c r="A90" s="530"/>
      <c r="B90" s="1143" t="s">
        <v>1878</v>
      </c>
      <c r="C90" s="4087"/>
      <c r="D90" s="3962"/>
      <c r="E90" s="4071"/>
      <c r="F90" s="3962"/>
      <c r="G90" s="4088"/>
      <c r="H90" s="3962"/>
      <c r="I90" s="530"/>
      <c r="J90" s="1349"/>
      <c r="K90" s="4097" t="s">
        <v>1178</v>
      </c>
      <c r="L90" s="4098"/>
      <c r="M90" s="1721">
        <v>23</v>
      </c>
      <c r="N90" s="4097" t="s">
        <v>1179</v>
      </c>
      <c r="O90" s="4098"/>
      <c r="P90" s="1350">
        <f>M89*M90/(0.003*P89)</f>
        <v>4497.7777777777774</v>
      </c>
      <c r="Q90" s="530"/>
      <c r="R90" s="530"/>
      <c r="S90" s="530"/>
      <c r="T90" s="1162"/>
    </row>
    <row r="91" spans="1:20" ht="15" customHeight="1">
      <c r="A91" s="530"/>
      <c r="B91" s="1143" t="s">
        <v>1176</v>
      </c>
      <c r="C91" s="4091">
        <v>11</v>
      </c>
      <c r="D91" s="4092"/>
      <c r="E91" s="4093">
        <v>75</v>
      </c>
      <c r="F91" s="4094"/>
      <c r="G91" s="4095">
        <f>C91/(1-E91/100)</f>
        <v>44</v>
      </c>
      <c r="H91" s="4096"/>
      <c r="I91" s="530"/>
      <c r="J91" s="1349"/>
      <c r="K91" s="1349"/>
      <c r="L91" s="1349"/>
      <c r="M91" s="1349"/>
      <c r="N91" s="1349"/>
      <c r="O91" s="1349"/>
      <c r="P91" s="1349"/>
      <c r="Q91" s="530"/>
      <c r="R91" s="1349"/>
      <c r="S91" s="530"/>
      <c r="T91" s="1162"/>
    </row>
    <row r="92" spans="1:20" ht="15" customHeight="1">
      <c r="A92" s="530"/>
      <c r="B92" s="530"/>
      <c r="C92" s="4200" t="s">
        <v>1151</v>
      </c>
      <c r="D92" s="4200"/>
      <c r="E92" s="1676"/>
      <c r="F92" s="1676"/>
      <c r="G92" s="1676"/>
      <c r="H92" s="1676"/>
      <c r="I92" s="530"/>
      <c r="J92" s="530"/>
      <c r="K92" s="530"/>
      <c r="L92" s="530"/>
      <c r="M92" s="530"/>
      <c r="N92" s="530"/>
      <c r="O92" s="530"/>
      <c r="P92" s="530"/>
      <c r="Q92" s="530"/>
      <c r="R92" s="1676"/>
      <c r="S92" s="530"/>
      <c r="T92" s="1162"/>
    </row>
    <row r="93" spans="1:20" s="1615" customFormat="1" ht="15" customHeight="1">
      <c r="A93" s="530"/>
      <c r="B93" s="530"/>
      <c r="C93" s="4201"/>
      <c r="D93" s="4201"/>
      <c r="E93" s="1676"/>
      <c r="F93" s="1676"/>
      <c r="G93" s="1676"/>
      <c r="H93" s="1676"/>
      <c r="I93" s="530"/>
      <c r="J93" s="530"/>
      <c r="K93" s="530"/>
      <c r="L93" s="530"/>
      <c r="M93" s="530"/>
      <c r="N93" s="530"/>
      <c r="O93" s="530"/>
      <c r="P93" s="530"/>
      <c r="Q93" s="530"/>
      <c r="R93" s="1676"/>
      <c r="S93" s="530"/>
      <c r="T93" s="1162"/>
    </row>
    <row r="94" spans="1:20" ht="15" customHeight="1">
      <c r="A94" s="530"/>
      <c r="B94" s="530"/>
      <c r="C94" s="4191" t="s">
        <v>1173</v>
      </c>
      <c r="D94" s="4192"/>
      <c r="E94" s="4084" t="s">
        <v>1175</v>
      </c>
      <c r="F94" s="4085"/>
      <c r="G94" s="4082" t="s">
        <v>1174</v>
      </c>
      <c r="H94" s="4083"/>
      <c r="I94" s="530"/>
      <c r="J94" s="1348"/>
      <c r="K94" s="4199" t="s">
        <v>1875</v>
      </c>
      <c r="L94" s="4199"/>
      <c r="M94" s="1676"/>
      <c r="N94" s="1676"/>
      <c r="O94" s="1676"/>
      <c r="P94" s="1676"/>
      <c r="Q94" s="530"/>
      <c r="R94" s="530"/>
      <c r="S94" s="530"/>
      <c r="T94" s="530"/>
    </row>
    <row r="95" spans="1:20" ht="15" customHeight="1">
      <c r="A95" s="530"/>
      <c r="B95" s="530"/>
      <c r="C95" s="4087"/>
      <c r="D95" s="3962"/>
      <c r="E95" s="4071"/>
      <c r="F95" s="3962"/>
      <c r="G95" s="4087"/>
      <c r="H95" s="3962"/>
      <c r="I95" s="530"/>
      <c r="J95" s="1351"/>
      <c r="K95" s="2473" t="s">
        <v>1173</v>
      </c>
      <c r="L95" s="2473" t="s">
        <v>1174</v>
      </c>
      <c r="M95" s="4288" t="s">
        <v>380</v>
      </c>
      <c r="N95" s="4289"/>
      <c r="O95" s="4288" t="s">
        <v>1180</v>
      </c>
      <c r="P95" s="4289"/>
      <c r="Q95" s="530"/>
      <c r="R95" s="530"/>
      <c r="S95" s="530"/>
      <c r="T95" s="1162"/>
    </row>
    <row r="96" spans="1:20" ht="15" customHeight="1">
      <c r="A96" s="530"/>
      <c r="B96" s="530"/>
      <c r="C96" s="4091">
        <v>44</v>
      </c>
      <c r="D96" s="4193"/>
      <c r="E96" s="4093">
        <v>75</v>
      </c>
      <c r="F96" s="4194"/>
      <c r="G96" s="4195">
        <f>C96*(1-E96/100)</f>
        <v>11</v>
      </c>
      <c r="H96" s="4196"/>
      <c r="I96" s="530"/>
      <c r="J96" s="1352"/>
      <c r="K96" s="2474">
        <v>44</v>
      </c>
      <c r="L96" s="2474">
        <v>11</v>
      </c>
      <c r="M96" s="4290">
        <f>(1-(L96/K96))</f>
        <v>0.75</v>
      </c>
      <c r="N96" s="4291"/>
      <c r="O96" s="4290">
        <f>(1-(((0.1808*K96)+(0.8192*L96))/K96))</f>
        <v>0.61440000000000006</v>
      </c>
      <c r="P96" s="4291"/>
      <c r="Q96" s="530"/>
      <c r="R96" s="1352"/>
      <c r="S96" s="530"/>
      <c r="T96" s="1162"/>
    </row>
    <row r="97" spans="1:20" ht="15" customHeight="1">
      <c r="A97" s="514"/>
      <c r="B97" s="514"/>
      <c r="C97" s="4197" t="s">
        <v>1181</v>
      </c>
      <c r="D97" s="4197"/>
      <c r="E97" s="4197"/>
      <c r="F97" s="4197"/>
      <c r="G97" s="4197"/>
      <c r="H97" s="1353"/>
      <c r="I97" s="530"/>
      <c r="J97" s="514"/>
      <c r="K97" s="4202" t="s">
        <v>1879</v>
      </c>
      <c r="L97" s="4202"/>
      <c r="M97" s="530"/>
      <c r="N97" s="514"/>
      <c r="O97" s="530"/>
      <c r="P97" s="514"/>
      <c r="Q97" s="530"/>
      <c r="R97" s="514"/>
      <c r="S97" s="530"/>
      <c r="T97" s="1162"/>
    </row>
    <row r="98" spans="1:20" ht="15" customHeight="1">
      <c r="A98" s="530"/>
      <c r="B98" s="514"/>
      <c r="C98" s="4198" t="s">
        <v>1182</v>
      </c>
      <c r="D98" s="4198"/>
      <c r="E98" s="4198"/>
      <c r="F98" s="4198"/>
      <c r="G98" s="4198"/>
      <c r="H98" s="4198"/>
      <c r="I98" s="2524"/>
      <c r="J98" s="514"/>
      <c r="K98" s="2524"/>
      <c r="L98" s="514"/>
      <c r="M98" s="2524"/>
      <c r="N98" s="514"/>
      <c r="O98" s="2524"/>
      <c r="P98" s="514"/>
      <c r="Q98" s="2524"/>
      <c r="R98" s="514"/>
      <c r="S98" s="530"/>
      <c r="T98" s="1162"/>
    </row>
    <row r="99" spans="1:20" ht="15" customHeight="1">
      <c r="A99" s="530"/>
      <c r="B99" s="1354"/>
      <c r="C99" s="1354"/>
      <c r="D99" s="1354"/>
      <c r="E99" s="1354"/>
      <c r="F99" s="1354"/>
      <c r="G99" s="3480"/>
      <c r="H99" s="3480"/>
      <c r="I99" s="3480"/>
      <c r="J99" s="3480"/>
      <c r="K99" s="3480"/>
      <c r="L99" s="3480"/>
      <c r="M99" s="3480"/>
      <c r="N99" s="3480"/>
      <c r="O99" s="3480"/>
      <c r="P99" s="3480"/>
      <c r="Q99" s="530"/>
      <c r="R99" s="530"/>
      <c r="S99" s="530"/>
      <c r="T99" s="1162"/>
    </row>
    <row r="100" spans="1:20" ht="15" customHeight="1">
      <c r="A100" s="530"/>
      <c r="B100" s="530"/>
      <c r="C100" s="530"/>
      <c r="D100" s="530"/>
      <c r="E100" s="530"/>
      <c r="F100" s="530"/>
      <c r="G100" s="514"/>
      <c r="H100" s="514"/>
      <c r="I100" s="514"/>
      <c r="J100" s="492"/>
      <c r="K100" s="492"/>
      <c r="L100" s="492"/>
      <c r="M100" s="492"/>
      <c r="N100" s="492"/>
      <c r="O100" s="492"/>
      <c r="P100" s="492"/>
      <c r="Q100" s="530"/>
      <c r="R100" s="530"/>
      <c r="S100" s="530"/>
      <c r="T100" s="1162"/>
    </row>
    <row r="101" spans="1:20" ht="15" customHeight="1">
      <c r="A101" s="4054" t="s">
        <v>1183</v>
      </c>
      <c r="B101" s="4054"/>
      <c r="C101" s="362"/>
      <c r="D101" s="524"/>
      <c r="E101" s="362"/>
      <c r="F101" s="530"/>
      <c r="G101" s="530"/>
      <c r="H101" s="530"/>
      <c r="I101" s="530"/>
      <c r="J101" s="492"/>
      <c r="K101" s="4055" t="s">
        <v>1184</v>
      </c>
      <c r="L101" s="4055"/>
      <c r="M101" s="4055"/>
      <c r="N101" s="4055"/>
      <c r="O101" s="4055"/>
      <c r="P101" s="4055"/>
      <c r="Q101" s="492"/>
      <c r="R101" s="492"/>
      <c r="S101" s="492"/>
      <c r="T101" s="1162"/>
    </row>
    <row r="102" spans="1:20" ht="15" customHeight="1">
      <c r="A102" s="492"/>
      <c r="B102" s="4056" t="s">
        <v>1712</v>
      </c>
      <c r="C102" s="4056"/>
      <c r="D102" s="4056"/>
      <c r="E102" s="4056"/>
      <c r="F102" s="4056"/>
      <c r="G102" s="4056"/>
      <c r="H102" s="4056"/>
      <c r="I102" s="2045"/>
      <c r="J102" s="492"/>
      <c r="K102" s="4057" t="s">
        <v>1185</v>
      </c>
      <c r="L102" s="4058"/>
      <c r="M102" s="1722">
        <v>5</v>
      </c>
      <c r="N102" s="1724">
        <v>5.3</v>
      </c>
      <c r="O102" s="4059" t="s">
        <v>1186</v>
      </c>
      <c r="P102" s="4032"/>
      <c r="Q102" s="492"/>
      <c r="R102" s="492"/>
      <c r="S102" s="492"/>
      <c r="T102" s="1162"/>
    </row>
    <row r="103" spans="1:20" ht="15" customHeight="1">
      <c r="A103" s="492"/>
      <c r="B103" s="2039" t="s">
        <v>1187</v>
      </c>
      <c r="C103" s="2043">
        <v>12.3</v>
      </c>
      <c r="D103" s="4182" t="s">
        <v>1188</v>
      </c>
      <c r="E103" s="4183"/>
      <c r="F103" s="4183"/>
      <c r="G103" s="4183"/>
      <c r="H103" s="4184"/>
      <c r="I103" s="2044"/>
      <c r="J103" s="492"/>
      <c r="K103" s="4057" t="s">
        <v>1189</v>
      </c>
      <c r="L103" s="4058"/>
      <c r="M103" s="1723">
        <v>34</v>
      </c>
      <c r="N103" s="1355">
        <f>(M103*M102)/N102</f>
        <v>32.075471698113212</v>
      </c>
      <c r="O103" s="4059" t="s">
        <v>1190</v>
      </c>
      <c r="P103" s="4032"/>
      <c r="Q103" s="492"/>
      <c r="R103" s="492"/>
      <c r="S103" s="492"/>
      <c r="T103" s="1162"/>
    </row>
    <row r="104" spans="1:20" ht="15" customHeight="1">
      <c r="A104" s="492"/>
      <c r="B104" s="2039" t="s">
        <v>1191</v>
      </c>
      <c r="C104" s="2043">
        <v>375</v>
      </c>
      <c r="D104" s="4060" t="s">
        <v>1192</v>
      </c>
      <c r="E104" s="4061"/>
      <c r="F104" s="4062"/>
      <c r="G104" s="2043">
        <v>80</v>
      </c>
      <c r="H104" s="2041" t="s">
        <v>1711</v>
      </c>
      <c r="I104" s="2044"/>
      <c r="J104" s="492"/>
      <c r="K104" s="447"/>
      <c r="L104" s="447"/>
      <c r="M104" s="447"/>
      <c r="N104" s="447"/>
      <c r="O104" s="447"/>
      <c r="P104" s="447"/>
      <c r="Q104" s="492"/>
      <c r="R104" s="492"/>
      <c r="S104" s="447"/>
      <c r="T104" s="1162"/>
    </row>
    <row r="105" spans="1:20" ht="15" customHeight="1">
      <c r="A105" s="492"/>
      <c r="B105" s="2039" t="s">
        <v>1193</v>
      </c>
      <c r="C105" s="2043">
        <v>10</v>
      </c>
      <c r="D105" s="4185" t="s">
        <v>1709</v>
      </c>
      <c r="E105" s="4186"/>
      <c r="F105" s="4186"/>
      <c r="G105" s="4186"/>
      <c r="H105" s="4187"/>
      <c r="I105" s="2044"/>
      <c r="J105" s="492"/>
      <c r="K105" s="4285" t="s">
        <v>1194</v>
      </c>
      <c r="L105" s="4286"/>
      <c r="M105" s="4286"/>
      <c r="N105" s="4286"/>
      <c r="O105" s="4286"/>
      <c r="P105" s="4286"/>
      <c r="Q105" s="447"/>
      <c r="R105" s="447"/>
      <c r="S105" s="447"/>
      <c r="T105" s="1162"/>
    </row>
    <row r="106" spans="1:20" ht="15" customHeight="1">
      <c r="A106" s="492"/>
      <c r="B106" s="2042" t="s">
        <v>1710</v>
      </c>
      <c r="C106" s="2046" t="str">
        <f>FIXED((C124/(1-(C105/100)))+C103,1)</f>
        <v>92.9</v>
      </c>
      <c r="D106" s="4293" t="s">
        <v>1708</v>
      </c>
      <c r="E106" s="4294"/>
      <c r="F106" s="4294"/>
      <c r="G106" s="4294"/>
      <c r="H106" s="4295"/>
      <c r="I106" s="2044"/>
      <c r="J106" s="492"/>
      <c r="K106" s="4292" t="s">
        <v>116</v>
      </c>
      <c r="L106" s="4022"/>
      <c r="M106" s="1721">
        <v>30</v>
      </c>
      <c r="N106" s="4223" t="s">
        <v>1718</v>
      </c>
      <c r="O106" s="4022"/>
      <c r="P106" s="1721">
        <v>5.3</v>
      </c>
      <c r="Q106" s="447"/>
      <c r="R106" s="447"/>
      <c r="S106" s="447"/>
      <c r="T106" s="1162"/>
    </row>
    <row r="107" spans="1:20" ht="15" customHeight="1">
      <c r="A107" s="492"/>
      <c r="B107" s="2040" t="s">
        <v>1195</v>
      </c>
      <c r="C107" s="2047">
        <f>(C124/(1-(C105/100)))</f>
        <v>80.59999999999998</v>
      </c>
      <c r="D107" s="4300" t="s">
        <v>40</v>
      </c>
      <c r="E107" s="4301"/>
      <c r="F107" s="4301"/>
      <c r="G107" s="4301"/>
      <c r="H107" s="4302"/>
      <c r="I107" s="2044"/>
      <c r="J107" s="492"/>
      <c r="K107" s="4097" t="s">
        <v>1178</v>
      </c>
      <c r="L107" s="4022"/>
      <c r="M107" s="1721">
        <v>23</v>
      </c>
      <c r="N107" s="4223" t="s">
        <v>1719</v>
      </c>
      <c r="O107" s="4022"/>
      <c r="P107" s="1721">
        <v>20</v>
      </c>
      <c r="Q107" s="447"/>
      <c r="R107" s="447"/>
      <c r="S107" s="447"/>
      <c r="T107" s="1162"/>
    </row>
    <row r="108" spans="1:20" ht="15" customHeight="1">
      <c r="A108" s="492"/>
      <c r="B108" s="492"/>
      <c r="C108" s="447"/>
      <c r="D108" s="447"/>
      <c r="E108" s="447"/>
      <c r="F108" s="447"/>
      <c r="G108" s="447"/>
      <c r="H108" s="447"/>
      <c r="I108" s="447"/>
      <c r="J108" s="492"/>
      <c r="K108" s="4223" t="s">
        <v>1717</v>
      </c>
      <c r="L108" s="4022"/>
      <c r="M108" s="1350">
        <f>10*M107*M106/(P106*P107)</f>
        <v>65.094339622641513</v>
      </c>
      <c r="N108" s="4303" t="s">
        <v>1940</v>
      </c>
      <c r="O108" s="4304"/>
      <c r="P108" s="4305"/>
      <c r="Q108" s="447"/>
      <c r="R108" s="447"/>
      <c r="S108" s="447"/>
      <c r="T108" s="1162"/>
    </row>
    <row r="109" spans="1:20" ht="15" customHeight="1">
      <c r="A109" s="492"/>
      <c r="B109" s="1356" t="s">
        <v>1196</v>
      </c>
      <c r="C109" s="447"/>
      <c r="D109" s="447"/>
      <c r="E109" s="447"/>
      <c r="F109" s="447"/>
      <c r="G109" s="447"/>
      <c r="H109" s="447"/>
      <c r="I109" s="447"/>
      <c r="J109" s="447"/>
      <c r="K109" s="1611"/>
      <c r="L109" s="1611"/>
      <c r="M109" s="1357"/>
      <c r="N109" s="1358"/>
      <c r="O109" s="1359"/>
      <c r="P109" s="1359"/>
      <c r="Q109" s="447"/>
      <c r="R109" s="447"/>
      <c r="S109" s="447"/>
      <c r="T109" s="1162"/>
    </row>
    <row r="110" spans="1:20" ht="15" customHeight="1">
      <c r="A110" s="492"/>
      <c r="B110" s="3477"/>
      <c r="C110" s="1725">
        <v>1</v>
      </c>
      <c r="D110" s="4309" t="s">
        <v>228</v>
      </c>
      <c r="E110" s="4310"/>
      <c r="F110" s="1725">
        <v>1</v>
      </c>
      <c r="G110" s="4309" t="s">
        <v>1197</v>
      </c>
      <c r="H110" s="4310"/>
      <c r="I110" s="1725">
        <v>69</v>
      </c>
      <c r="J110" s="1360" t="s">
        <v>229</v>
      </c>
      <c r="K110" s="4311" t="s">
        <v>1198</v>
      </c>
      <c r="L110" s="4101"/>
      <c r="M110" s="4101"/>
      <c r="N110" s="4101"/>
      <c r="O110" s="4101"/>
      <c r="P110" s="4101"/>
      <c r="Q110" s="1361"/>
      <c r="R110" s="1361"/>
      <c r="S110" s="1361"/>
      <c r="T110" s="1361"/>
    </row>
    <row r="111" spans="1:20" ht="15" customHeight="1">
      <c r="A111" s="492"/>
      <c r="B111" s="3507" t="s">
        <v>1115</v>
      </c>
      <c r="C111" s="1362"/>
      <c r="D111" s="1362"/>
      <c r="E111" s="1362"/>
      <c r="F111" s="1362"/>
      <c r="G111" s="1362"/>
      <c r="H111" s="1362"/>
      <c r="I111" s="1362"/>
      <c r="J111" s="1362"/>
      <c r="K111" s="524"/>
      <c r="L111" s="1363"/>
      <c r="M111" s="1346"/>
      <c r="N111" s="903"/>
      <c r="O111" s="903"/>
      <c r="P111" s="903"/>
      <c r="Q111" s="447"/>
      <c r="R111" s="447"/>
      <c r="S111" s="447"/>
      <c r="T111" s="1162"/>
    </row>
    <row r="112" spans="1:20" ht="15" customHeight="1">
      <c r="A112" s="492"/>
      <c r="B112" s="903"/>
      <c r="C112" s="1725">
        <v>1</v>
      </c>
      <c r="D112" s="4309" t="s">
        <v>228</v>
      </c>
      <c r="E112" s="4310"/>
      <c r="F112" s="1725">
        <v>23</v>
      </c>
      <c r="G112" s="4309" t="s">
        <v>1197</v>
      </c>
      <c r="H112" s="4310"/>
      <c r="I112" s="1364">
        <f>C112/F112*I110</f>
        <v>3</v>
      </c>
      <c r="J112" s="1360" t="s">
        <v>229</v>
      </c>
      <c r="K112" s="1362"/>
      <c r="L112" s="1362"/>
      <c r="M112" s="903"/>
      <c r="N112" s="903"/>
      <c r="O112" s="903"/>
      <c r="P112" s="903"/>
      <c r="Q112" s="447"/>
      <c r="R112" s="447"/>
      <c r="S112" s="447"/>
      <c r="T112" s="1162"/>
    </row>
    <row r="113" spans="1:20" s="1214" customFormat="1" ht="15" customHeight="1">
      <c r="A113" s="492"/>
      <c r="B113" s="3507" t="s">
        <v>1115</v>
      </c>
      <c r="C113" s="903"/>
      <c r="D113" s="903"/>
      <c r="E113" s="903"/>
      <c r="F113" s="903"/>
      <c r="G113" s="903"/>
      <c r="H113" s="903"/>
      <c r="I113" s="903"/>
      <c r="J113" s="903"/>
      <c r="K113" s="903"/>
      <c r="L113" s="1362"/>
      <c r="M113" s="903"/>
      <c r="N113" s="903"/>
      <c r="O113" s="903"/>
      <c r="P113" s="903"/>
      <c r="Q113" s="447"/>
      <c r="R113" s="447"/>
      <c r="S113" s="447"/>
      <c r="T113" s="1162"/>
    </row>
    <row r="114" spans="1:20" s="1214" customFormat="1" ht="15" customHeight="1">
      <c r="A114" s="492"/>
      <c r="B114" s="492"/>
      <c r="C114" s="1725">
        <v>1</v>
      </c>
      <c r="D114" s="4296" t="s">
        <v>1880</v>
      </c>
      <c r="E114" s="4297"/>
      <c r="F114" s="1725">
        <v>23</v>
      </c>
      <c r="G114" s="4298" t="s">
        <v>1197</v>
      </c>
      <c r="H114" s="4299"/>
      <c r="I114" s="1364">
        <f>5*C114/F114*I110</f>
        <v>15</v>
      </c>
      <c r="J114" s="1360" t="s">
        <v>229</v>
      </c>
      <c r="K114" s="1363"/>
      <c r="L114" s="447"/>
      <c r="M114" s="447"/>
      <c r="N114" s="447"/>
      <c r="O114" s="447"/>
      <c r="P114" s="447"/>
      <c r="Q114" s="447"/>
      <c r="R114" s="447"/>
      <c r="S114" s="447"/>
      <c r="T114" s="1162"/>
    </row>
    <row r="115" spans="1:20" s="1214" customFormat="1" ht="15" customHeight="1">
      <c r="A115" s="492"/>
      <c r="B115" s="492"/>
      <c r="C115" s="447"/>
      <c r="D115" s="447"/>
      <c r="E115" s="447"/>
      <c r="F115" s="447"/>
      <c r="G115" s="447"/>
      <c r="H115" s="447"/>
      <c r="I115" s="447"/>
      <c r="J115" s="447"/>
      <c r="K115" s="447"/>
      <c r="L115" s="447"/>
      <c r="M115" s="447"/>
      <c r="N115" s="447"/>
      <c r="O115" s="447"/>
      <c r="P115" s="447"/>
      <c r="Q115" s="447"/>
      <c r="R115" s="447"/>
      <c r="S115" s="447"/>
      <c r="T115" s="1162"/>
    </row>
    <row r="116" spans="1:20" s="1214" customFormat="1" ht="15" customHeight="1">
      <c r="A116" s="4063" t="s">
        <v>1004</v>
      </c>
      <c r="B116" s="4063"/>
      <c r="C116" s="1211"/>
      <c r="D116" s="1211"/>
      <c r="E116" s="1211"/>
      <c r="F116" s="447"/>
      <c r="G116" s="447"/>
      <c r="H116" s="447"/>
      <c r="I116" s="1037"/>
      <c r="J116" s="492"/>
      <c r="K116" s="492"/>
      <c r="L116" s="492"/>
      <c r="M116" s="492"/>
      <c r="N116" s="492"/>
      <c r="O116" s="492"/>
      <c r="P116" s="492"/>
      <c r="Q116" s="530"/>
      <c r="R116" s="530"/>
      <c r="S116" s="447"/>
      <c r="T116" s="1162"/>
    </row>
    <row r="117" spans="1:20" ht="15" customHeight="1">
      <c r="A117" s="492"/>
      <c r="B117" s="492"/>
      <c r="C117" s="4306" t="s">
        <v>1199</v>
      </c>
      <c r="D117" s="4109"/>
      <c r="E117" s="1365" t="s">
        <v>1006</v>
      </c>
      <c r="F117" s="1365" t="s">
        <v>1007</v>
      </c>
      <c r="G117" s="1366" t="s">
        <v>1008</v>
      </c>
      <c r="H117" s="514"/>
      <c r="I117" s="514"/>
      <c r="J117" s="1367" t="s">
        <v>1115</v>
      </c>
      <c r="K117" s="1365" t="s">
        <v>1006</v>
      </c>
      <c r="L117" s="1365" t="s">
        <v>1007</v>
      </c>
      <c r="M117" s="1365" t="s">
        <v>1008</v>
      </c>
      <c r="N117" s="1368" t="s">
        <v>1009</v>
      </c>
      <c r="O117" s="492"/>
      <c r="P117" s="492"/>
      <c r="Q117" s="530"/>
      <c r="R117" s="530"/>
      <c r="S117" s="447"/>
      <c r="T117" s="1162"/>
    </row>
    <row r="118" spans="1:20" ht="15" customHeight="1">
      <c r="A118" s="492"/>
      <c r="B118" s="492"/>
      <c r="C118" s="492"/>
      <c r="D118" s="492"/>
      <c r="E118" s="1369" t="s">
        <v>40</v>
      </c>
      <c r="F118" s="1369" t="s">
        <v>27</v>
      </c>
      <c r="G118" s="1370" t="s">
        <v>27</v>
      </c>
      <c r="H118" s="4307" t="s">
        <v>1200</v>
      </c>
      <c r="I118" s="4101"/>
      <c r="J118" s="4174"/>
      <c r="K118" s="1369" t="s">
        <v>40</v>
      </c>
      <c r="L118" s="1369" t="s">
        <v>27</v>
      </c>
      <c r="M118" s="1369" t="s">
        <v>27</v>
      </c>
      <c r="N118" s="1370"/>
      <c r="O118" s="492"/>
      <c r="P118" s="492"/>
      <c r="Q118" s="530"/>
      <c r="R118" s="530"/>
      <c r="S118" s="447"/>
      <c r="T118" s="1162"/>
    </row>
    <row r="119" spans="1:20" ht="15" customHeight="1">
      <c r="A119" s="492"/>
      <c r="B119" s="492"/>
      <c r="C119" s="492"/>
      <c r="D119" s="492"/>
      <c r="E119" s="1726">
        <v>200</v>
      </c>
      <c r="F119" s="1371">
        <f>0.671*E119</f>
        <v>134.20000000000002</v>
      </c>
      <c r="G119" s="1372">
        <f>F119+(0.58*E119)</f>
        <v>250.2</v>
      </c>
      <c r="H119" s="4308"/>
      <c r="I119" s="4101"/>
      <c r="J119" s="4174"/>
      <c r="K119" s="1726">
        <v>600</v>
      </c>
      <c r="L119" s="1726">
        <v>200</v>
      </c>
      <c r="M119" s="1373">
        <f>L119+(0.58*K119)</f>
        <v>548</v>
      </c>
      <c r="N119" s="1374">
        <f>1000+375*K119/M119</f>
        <v>1410.5839416058393</v>
      </c>
      <c r="O119" s="492"/>
      <c r="P119" s="492"/>
      <c r="Q119" s="530"/>
      <c r="R119" s="530"/>
      <c r="S119" s="447"/>
      <c r="T119" s="1162"/>
    </row>
    <row r="120" spans="1:20" ht="15" customHeight="1">
      <c r="A120" s="492"/>
      <c r="B120" s="492"/>
      <c r="C120" s="492"/>
      <c r="D120" s="492"/>
      <c r="E120" s="492"/>
      <c r="F120" s="492"/>
      <c r="G120" s="447"/>
      <c r="H120" s="447"/>
      <c r="I120" s="492"/>
      <c r="J120" s="492"/>
      <c r="K120" s="492"/>
      <c r="L120" s="492"/>
      <c r="M120" s="492"/>
      <c r="N120" s="492"/>
      <c r="O120" s="492"/>
      <c r="P120" s="492"/>
      <c r="Q120" s="530"/>
      <c r="R120" s="530"/>
      <c r="S120" s="447"/>
      <c r="T120" s="1162"/>
    </row>
    <row r="121" spans="1:20" ht="15" customHeight="1">
      <c r="A121" s="492"/>
      <c r="B121" s="492"/>
      <c r="C121" s="447"/>
      <c r="D121" s="447"/>
      <c r="E121" s="447"/>
      <c r="F121" s="447"/>
      <c r="G121" s="447"/>
      <c r="H121" s="447"/>
      <c r="I121" s="447"/>
      <c r="J121" s="447"/>
      <c r="K121" s="447"/>
      <c r="L121" s="447"/>
      <c r="M121" s="447"/>
      <c r="N121" s="447"/>
      <c r="O121" s="447"/>
      <c r="P121" s="447"/>
      <c r="Q121" s="447"/>
      <c r="R121" s="447"/>
      <c r="S121" s="447"/>
      <c r="T121" s="1162"/>
    </row>
    <row r="122" spans="1:20" ht="15" customHeight="1">
      <c r="A122" s="4229" t="s">
        <v>1201</v>
      </c>
      <c r="B122" s="4229"/>
      <c r="C122" s="1143"/>
      <c r="D122" s="1143"/>
      <c r="E122" s="447"/>
      <c r="F122" s="447"/>
      <c r="G122" s="447"/>
      <c r="H122" s="447"/>
      <c r="I122" s="447"/>
      <c r="J122" s="447"/>
      <c r="K122" s="447"/>
      <c r="L122" s="447"/>
      <c r="M122" s="447"/>
      <c r="N122" s="1143"/>
      <c r="O122" s="1162"/>
      <c r="P122" s="1162"/>
      <c r="Q122" s="1162"/>
      <c r="R122" s="447"/>
      <c r="S122" s="447"/>
      <c r="T122" s="1162"/>
    </row>
    <row r="123" spans="1:20" ht="15" customHeight="1">
      <c r="A123" s="530"/>
      <c r="B123" s="3437" t="s">
        <v>1202</v>
      </c>
      <c r="C123" s="613">
        <f>C104-C103</f>
        <v>362.7</v>
      </c>
      <c r="D123" s="1142" t="s">
        <v>40</v>
      </c>
      <c r="E123" s="447"/>
      <c r="F123" s="447"/>
      <c r="G123" s="447"/>
      <c r="H123" s="447"/>
      <c r="I123" s="447"/>
      <c r="J123" s="447"/>
      <c r="K123" s="447"/>
      <c r="L123" s="447"/>
      <c r="M123" s="447"/>
      <c r="N123" s="447"/>
      <c r="O123" s="4055" t="s">
        <v>1203</v>
      </c>
      <c r="P123" s="4055"/>
      <c r="Q123" s="4055"/>
      <c r="R123" s="447"/>
      <c r="S123" s="447"/>
      <c r="T123" s="1162"/>
    </row>
    <row r="124" spans="1:20" ht="15" customHeight="1">
      <c r="A124" s="530"/>
      <c r="B124" s="1614" t="s">
        <v>1204</v>
      </c>
      <c r="C124" s="1347">
        <f>C123*(1-(G104/100))</f>
        <v>72.539999999999978</v>
      </c>
      <c r="D124" s="1142" t="s">
        <v>40</v>
      </c>
      <c r="E124" s="447"/>
      <c r="F124" s="447"/>
      <c r="G124" s="447"/>
      <c r="H124" s="447"/>
      <c r="I124" s="447"/>
      <c r="J124" s="447"/>
      <c r="K124" s="447"/>
      <c r="L124" s="447"/>
      <c r="M124" s="447"/>
      <c r="N124" s="447"/>
      <c r="O124" s="1607" t="s">
        <v>50</v>
      </c>
      <c r="P124" s="1607" t="s">
        <v>43</v>
      </c>
      <c r="Q124" s="1607" t="s">
        <v>1205</v>
      </c>
      <c r="R124" s="447"/>
      <c r="S124" s="447"/>
      <c r="T124" s="1162"/>
    </row>
    <row r="125" spans="1:20" ht="15" customHeight="1">
      <c r="A125" s="530"/>
      <c r="B125" s="530"/>
      <c r="C125" s="1143"/>
      <c r="D125" s="1143"/>
      <c r="E125" s="447"/>
      <c r="F125" s="447"/>
      <c r="G125" s="447"/>
      <c r="H125" s="447"/>
      <c r="I125" s="447"/>
      <c r="J125" s="447"/>
      <c r="K125" s="447"/>
      <c r="L125" s="447"/>
      <c r="M125" s="447"/>
      <c r="N125" s="447"/>
      <c r="O125" s="1375">
        <f>P125/0.508</f>
        <v>80.70866141732283</v>
      </c>
      <c r="P125" s="1696">
        <v>41</v>
      </c>
      <c r="Q125" s="1375">
        <f>0.508*P125</f>
        <v>20.827999999999999</v>
      </c>
      <c r="R125" s="447"/>
      <c r="S125" s="447"/>
      <c r="T125" s="1162"/>
    </row>
    <row r="126" spans="1:20" ht="15" customHeight="1">
      <c r="A126" s="492"/>
      <c r="B126" s="492"/>
      <c r="C126" s="447"/>
      <c r="D126" s="447"/>
      <c r="E126" s="447"/>
      <c r="F126" s="447"/>
      <c r="G126" s="447"/>
      <c r="H126" s="447"/>
      <c r="I126" s="447"/>
      <c r="J126" s="447"/>
      <c r="K126" s="447"/>
      <c r="L126" s="447"/>
      <c r="M126" s="447"/>
      <c r="N126" s="447"/>
      <c r="O126" s="4075" t="str">
        <f>1*FIXED(P125)&amp;" EBC = "&amp;1*FIXED(Q125,1)&amp;" SRM"</f>
        <v>41 EBC = 20.8 SRM</v>
      </c>
      <c r="P126" s="4075"/>
      <c r="Q126" s="4075"/>
      <c r="R126" s="447"/>
      <c r="S126" s="447"/>
      <c r="T126" s="1162"/>
    </row>
    <row r="127" spans="1:20" ht="15" customHeight="1">
      <c r="A127" s="492"/>
      <c r="B127" s="492"/>
      <c r="C127" s="447"/>
      <c r="D127" s="447"/>
      <c r="E127" s="447"/>
      <c r="F127" s="447"/>
      <c r="G127" s="447"/>
      <c r="H127" s="447"/>
      <c r="I127" s="447"/>
      <c r="J127" s="447"/>
      <c r="K127" s="447"/>
      <c r="L127" s="447"/>
      <c r="M127" s="447"/>
      <c r="N127" s="447"/>
      <c r="O127" s="4077" t="str">
        <f>1*FIXED(P125)&amp;" SRM = "&amp;1*FIXED(O125,1)&amp;" EBC"</f>
        <v>41 SRM = 80.7 EBC</v>
      </c>
      <c r="P127" s="4077"/>
      <c r="Q127" s="4077"/>
      <c r="R127" s="447"/>
      <c r="S127" s="447"/>
      <c r="T127" s="1162"/>
    </row>
    <row r="128" spans="1:20" ht="14.25" customHeight="1">
      <c r="A128" s="492"/>
      <c r="B128" s="492"/>
      <c r="C128" s="447"/>
      <c r="D128" s="447"/>
      <c r="E128" s="447"/>
      <c r="F128" s="447"/>
      <c r="G128" s="447"/>
      <c r="H128" s="447"/>
      <c r="I128" s="447"/>
      <c r="J128" s="447"/>
      <c r="K128" s="447"/>
      <c r="L128" s="447"/>
      <c r="M128" s="447"/>
      <c r="N128" s="447"/>
      <c r="O128" s="447"/>
      <c r="P128" s="447"/>
      <c r="Q128" s="447"/>
      <c r="R128" s="447"/>
      <c r="S128" s="447"/>
      <c r="T128" s="1162"/>
    </row>
    <row r="129" spans="1:20" ht="15" customHeight="1">
      <c r="A129" s="4275" t="s">
        <v>1206</v>
      </c>
      <c r="B129" s="4275"/>
      <c r="C129" s="4275"/>
      <c r="D129" s="4275"/>
      <c r="E129" s="4275"/>
      <c r="F129" s="4275"/>
      <c r="G129" s="4275"/>
      <c r="H129" s="4275"/>
      <c r="I129" s="4275"/>
      <c r="J129" s="4275"/>
      <c r="K129" s="4275"/>
      <c r="L129" s="4275"/>
      <c r="M129" s="4275"/>
      <c r="N129" s="1164"/>
      <c r="O129" s="1164"/>
      <c r="P129" s="1164"/>
      <c r="Q129" s="1164"/>
      <c r="R129" s="447"/>
      <c r="S129" s="447"/>
      <c r="T129" s="1162"/>
    </row>
    <row r="130" spans="1:20" ht="15" customHeight="1">
      <c r="A130" s="4276" t="s">
        <v>1868</v>
      </c>
      <c r="B130" s="4276"/>
      <c r="C130" s="4276"/>
      <c r="D130" s="4276"/>
      <c r="E130" s="4276"/>
      <c r="F130" s="4276"/>
      <c r="G130" s="4276"/>
      <c r="H130" s="4276"/>
      <c r="I130" s="4276"/>
      <c r="J130" s="4276"/>
      <c r="K130" s="4276"/>
      <c r="L130" s="4276"/>
      <c r="M130" s="4276"/>
      <c r="N130" s="4276"/>
      <c r="O130" s="4276"/>
      <c r="P130" s="4276"/>
      <c r="Q130" s="4276"/>
      <c r="R130" s="4276"/>
      <c r="S130" s="1376"/>
      <c r="T130" s="1162"/>
    </row>
    <row r="131" spans="1:20" ht="15" customHeight="1">
      <c r="A131" s="4276"/>
      <c r="B131" s="4276"/>
      <c r="C131" s="4276"/>
      <c r="D131" s="4276"/>
      <c r="E131" s="4276"/>
      <c r="F131" s="4276"/>
      <c r="G131" s="4276"/>
      <c r="H131" s="4276"/>
      <c r="I131" s="4276"/>
      <c r="J131" s="4276"/>
      <c r="K131" s="4276"/>
      <c r="L131" s="4276"/>
      <c r="M131" s="4276"/>
      <c r="N131" s="4276"/>
      <c r="O131" s="4276"/>
      <c r="P131" s="4276"/>
      <c r="Q131" s="4276"/>
      <c r="R131" s="4276"/>
      <c r="S131" s="1376"/>
      <c r="T131" s="1162"/>
    </row>
    <row r="132" spans="1:20" ht="15" customHeight="1">
      <c r="A132" s="1376"/>
      <c r="B132" s="1376"/>
      <c r="C132" s="1376"/>
      <c r="D132" s="1376"/>
      <c r="E132" s="1376"/>
      <c r="F132" s="1376"/>
      <c r="G132" s="1376"/>
      <c r="H132" s="1376"/>
      <c r="I132" s="1376"/>
      <c r="J132" s="1376"/>
      <c r="K132" s="1376"/>
      <c r="L132" s="1376"/>
      <c r="M132" s="1376"/>
      <c r="N132" s="1376"/>
      <c r="O132" s="1376"/>
      <c r="P132" s="1376"/>
      <c r="Q132" s="1376"/>
      <c r="R132" s="1376"/>
      <c r="S132" s="1290"/>
      <c r="T132" s="1162"/>
    </row>
    <row r="133" spans="1:20" ht="15" customHeight="1">
      <c r="A133" s="1376"/>
      <c r="B133" s="1376"/>
      <c r="C133" s="1376"/>
      <c r="D133" s="1376"/>
      <c r="E133" s="1376"/>
      <c r="F133" s="1376"/>
      <c r="G133" s="1376"/>
      <c r="H133" s="1376"/>
      <c r="I133" s="1376"/>
      <c r="J133" s="1376"/>
      <c r="K133" s="1376"/>
      <c r="L133" s="1376"/>
      <c r="M133" s="1376"/>
      <c r="N133" s="1376"/>
      <c r="O133" s="1376"/>
      <c r="P133" s="1376"/>
      <c r="Q133" s="1376"/>
      <c r="R133" s="1376"/>
      <c r="S133" s="1290"/>
      <c r="T133" s="1162"/>
    </row>
    <row r="134" spans="1:20" ht="15" customHeight="1">
      <c r="A134" s="4277" t="s">
        <v>1032</v>
      </c>
      <c r="B134" s="4277"/>
      <c r="C134" s="1377"/>
      <c r="D134" s="1377"/>
      <c r="E134" s="1377"/>
      <c r="F134" s="1377"/>
      <c r="G134" s="1377"/>
      <c r="H134" s="1377"/>
      <c r="I134" s="1377"/>
      <c r="J134" s="1377"/>
      <c r="K134" s="1290"/>
      <c r="L134" s="1377"/>
      <c r="M134" s="1290"/>
      <c r="N134" s="447"/>
      <c r="O134" s="447"/>
      <c r="P134" s="447"/>
      <c r="Q134" s="447"/>
      <c r="R134" s="447"/>
      <c r="S134" s="1377"/>
      <c r="T134" s="1162"/>
    </row>
    <row r="135" spans="1:20" ht="15" customHeight="1">
      <c r="A135" s="4278" t="s">
        <v>1207</v>
      </c>
      <c r="B135" s="4278"/>
      <c r="C135" s="524"/>
      <c r="D135" s="1194"/>
      <c r="E135" s="1194"/>
      <c r="F135" s="1194"/>
      <c r="G135" s="1192"/>
      <c r="H135" s="1192"/>
      <c r="I135" s="1192"/>
      <c r="J135" s="1192"/>
      <c r="K135" s="1290"/>
      <c r="L135" s="1192"/>
      <c r="M135" s="1192"/>
      <c r="N135" s="1192"/>
      <c r="O135" s="4279" t="s">
        <v>1208</v>
      </c>
      <c r="P135" s="4279"/>
      <c r="Q135" s="4279"/>
      <c r="R135" s="4279"/>
      <c r="S135" s="1192"/>
      <c r="T135" s="1162"/>
    </row>
    <row r="136" spans="1:20" ht="15" customHeight="1">
      <c r="A136" s="1378"/>
      <c r="B136" s="1379" t="s">
        <v>1209</v>
      </c>
      <c r="C136" s="1727" t="s">
        <v>738</v>
      </c>
      <c r="D136" s="1728" t="s">
        <v>1210</v>
      </c>
      <c r="E136" s="1727" t="s">
        <v>466</v>
      </c>
      <c r="F136" s="1728" t="s">
        <v>897</v>
      </c>
      <c r="G136" s="1727" t="s">
        <v>264</v>
      </c>
      <c r="H136" s="1728" t="s">
        <v>262</v>
      </c>
      <c r="I136" s="1727" t="s">
        <v>1211</v>
      </c>
      <c r="J136" s="1728" t="s">
        <v>1211</v>
      </c>
      <c r="K136" s="1728" t="s">
        <v>1211</v>
      </c>
      <c r="L136" s="1728" t="s">
        <v>1212</v>
      </c>
      <c r="M136" s="1729" t="s">
        <v>1213</v>
      </c>
      <c r="N136" s="1192"/>
      <c r="O136" s="4287" t="s">
        <v>1214</v>
      </c>
      <c r="P136" s="4287"/>
      <c r="Q136" s="4287"/>
      <c r="R136" s="524"/>
      <c r="S136" s="3474"/>
      <c r="T136" s="1162"/>
    </row>
    <row r="137" spans="1:20" ht="15" customHeight="1">
      <c r="A137" s="1378"/>
      <c r="B137" s="1380"/>
      <c r="C137" s="1730" t="s">
        <v>358</v>
      </c>
      <c r="D137" s="1731" t="s">
        <v>358</v>
      </c>
      <c r="E137" s="1730" t="s">
        <v>358</v>
      </c>
      <c r="F137" s="1731" t="s">
        <v>358</v>
      </c>
      <c r="G137" s="1730"/>
      <c r="H137" s="1731"/>
      <c r="I137" s="1730" t="s">
        <v>1215</v>
      </c>
      <c r="J137" s="1731" t="s">
        <v>1216</v>
      </c>
      <c r="K137" s="1731" t="s">
        <v>1217</v>
      </c>
      <c r="L137" s="1731" t="s">
        <v>1218</v>
      </c>
      <c r="M137" s="1732" t="s">
        <v>1219</v>
      </c>
      <c r="N137" s="1192"/>
      <c r="O137" s="1607" t="s">
        <v>50</v>
      </c>
      <c r="P137" s="1607" t="s">
        <v>43</v>
      </c>
      <c r="Q137" s="1607" t="s">
        <v>239</v>
      </c>
      <c r="R137" s="1192"/>
      <c r="S137" s="1381"/>
      <c r="T137" s="1162"/>
    </row>
    <row r="138" spans="1:20" ht="15" customHeight="1">
      <c r="A138" s="1378"/>
      <c r="B138" s="1382" t="s">
        <v>1220</v>
      </c>
      <c r="C138" s="1733">
        <v>2.8</v>
      </c>
      <c r="D138" s="1733">
        <v>3.5</v>
      </c>
      <c r="E138" s="1734">
        <v>5</v>
      </c>
      <c r="F138" s="1734">
        <v>9</v>
      </c>
      <c r="G138" s="1734">
        <v>10</v>
      </c>
      <c r="H138" s="1734">
        <v>25</v>
      </c>
      <c r="I138" s="1734">
        <v>105</v>
      </c>
      <c r="J138" s="1734">
        <v>140</v>
      </c>
      <c r="K138" s="1734">
        <v>200</v>
      </c>
      <c r="L138" s="1734">
        <v>1220</v>
      </c>
      <c r="M138" s="1735">
        <v>1280</v>
      </c>
      <c r="N138" s="1192"/>
      <c r="O138" s="1375">
        <f>P138*2.65-1.4</f>
        <v>116.25999999999999</v>
      </c>
      <c r="P138" s="1696">
        <v>44.4</v>
      </c>
      <c r="Q138" s="1375">
        <f>0.552+0.375*P138</f>
        <v>17.201999999999998</v>
      </c>
      <c r="R138" s="1192"/>
      <c r="S138" s="1192"/>
      <c r="T138" s="1162"/>
    </row>
    <row r="139" spans="1:20" ht="15" customHeight="1">
      <c r="A139" s="1378"/>
      <c r="B139" s="1383" t="s">
        <v>1221</v>
      </c>
      <c r="C139" s="1384">
        <f t="shared" ref="C139:L139" si="0">0.552+0.375*C138</f>
        <v>1.6019999999999999</v>
      </c>
      <c r="D139" s="1384">
        <f t="shared" si="0"/>
        <v>1.8645</v>
      </c>
      <c r="E139" s="1384">
        <f t="shared" si="0"/>
        <v>2.427</v>
      </c>
      <c r="F139" s="1384">
        <f t="shared" si="0"/>
        <v>3.927</v>
      </c>
      <c r="G139" s="1384">
        <f t="shared" si="0"/>
        <v>4.3019999999999996</v>
      </c>
      <c r="H139" s="1384">
        <f t="shared" si="0"/>
        <v>9.9269999999999996</v>
      </c>
      <c r="I139" s="1385">
        <f t="shared" si="0"/>
        <v>39.927</v>
      </c>
      <c r="J139" s="1385">
        <f t="shared" si="0"/>
        <v>53.052</v>
      </c>
      <c r="K139" s="1385">
        <f t="shared" si="0"/>
        <v>75.552000000000007</v>
      </c>
      <c r="L139" s="1385">
        <f t="shared" si="0"/>
        <v>458.05200000000002</v>
      </c>
      <c r="M139" s="1385">
        <f>0.552+0.375*M138</f>
        <v>480.55200000000002</v>
      </c>
      <c r="N139" s="1192"/>
      <c r="O139" s="4075" t="str">
        <f>1*FIXED(P138)&amp;" EBC = "&amp;1*FIXED(Q138,1)&amp;" Lovibond"</f>
        <v>44.4 EBC = 17.2 Lovibond</v>
      </c>
      <c r="P139" s="4075"/>
      <c r="Q139" s="4075"/>
      <c r="R139" s="524"/>
      <c r="S139" s="1192"/>
      <c r="T139" s="1162"/>
    </row>
    <row r="140" spans="1:20" ht="15" customHeight="1">
      <c r="A140" s="1378"/>
      <c r="B140" s="4076" t="s">
        <v>1222</v>
      </c>
      <c r="C140" s="4076"/>
      <c r="D140" s="4076"/>
      <c r="E140" s="4076"/>
      <c r="F140" s="4076"/>
      <c r="G140" s="1386"/>
      <c r="H140" s="1386"/>
      <c r="I140" s="1386"/>
      <c r="J140" s="1386"/>
      <c r="K140" s="1386"/>
      <c r="L140" s="1386"/>
      <c r="M140" s="514"/>
      <c r="N140" s="1290"/>
      <c r="O140" s="4077" t="str">
        <f>1*FIXED(P138)&amp;" Lovibond = "&amp;1*FIXED(O138,1)&amp;" SRM"</f>
        <v>44.4 Lovibond = 116.3 SRM</v>
      </c>
      <c r="P140" s="4077"/>
      <c r="Q140" s="4077"/>
      <c r="R140" s="1387"/>
      <c r="S140" s="1388"/>
      <c r="T140" s="1162"/>
    </row>
    <row r="141" spans="1:20" ht="15" customHeight="1">
      <c r="A141" s="1378"/>
      <c r="B141" s="1290"/>
      <c r="C141" s="1290"/>
      <c r="D141" s="1290"/>
      <c r="E141" s="1290"/>
      <c r="F141" s="1290"/>
      <c r="G141" s="1290"/>
      <c r="H141" s="1290"/>
      <c r="I141" s="1290"/>
      <c r="J141" s="1290"/>
      <c r="K141" s="1290"/>
      <c r="L141" s="1290"/>
      <c r="M141" s="1290"/>
      <c r="N141" s="1290"/>
      <c r="O141" s="4078" t="s">
        <v>1938</v>
      </c>
      <c r="P141" s="4078"/>
      <c r="Q141" s="4078"/>
      <c r="R141" s="4078"/>
      <c r="S141" s="1290"/>
      <c r="T141" s="1162"/>
    </row>
    <row r="142" spans="1:20" ht="15" customHeight="1">
      <c r="A142" s="1378"/>
      <c r="B142" s="1290"/>
      <c r="C142" s="1290"/>
      <c r="D142" s="1290"/>
      <c r="E142" s="1290"/>
      <c r="F142" s="1290"/>
      <c r="G142" s="1290"/>
      <c r="H142" s="1290"/>
      <c r="I142" s="1290"/>
      <c r="J142" s="1290"/>
      <c r="K142" s="1290"/>
      <c r="L142" s="1290"/>
      <c r="M142" s="1290"/>
      <c r="N142" s="1290"/>
      <c r="O142" s="514"/>
      <c r="P142" s="1290"/>
      <c r="Q142" s="1290"/>
      <c r="R142" s="1290"/>
      <c r="S142" s="1290"/>
      <c r="T142" s="1162"/>
    </row>
    <row r="143" spans="1:20" ht="15" customHeight="1">
      <c r="A143" s="4015" t="s">
        <v>1033</v>
      </c>
      <c r="B143" s="4015"/>
      <c r="C143" s="4079" t="s">
        <v>1223</v>
      </c>
      <c r="D143" s="4079"/>
      <c r="E143" s="4079"/>
      <c r="F143" s="4079"/>
      <c r="G143" s="4079"/>
      <c r="H143" s="4079"/>
      <c r="I143" s="1389"/>
      <c r="J143" s="1290"/>
      <c r="K143" s="1290"/>
      <c r="L143" s="1290"/>
      <c r="M143" s="1290"/>
      <c r="N143" s="1290"/>
      <c r="O143" s="1290"/>
      <c r="P143" s="1290"/>
      <c r="Q143" s="1290"/>
      <c r="R143" s="1290"/>
      <c r="S143" s="1290"/>
      <c r="T143" s="1162"/>
    </row>
    <row r="144" spans="1:20" ht="15" customHeight="1">
      <c r="A144" s="492"/>
      <c r="B144" s="1390" t="s">
        <v>1224</v>
      </c>
      <c r="C144" s="1736">
        <v>1070</v>
      </c>
      <c r="D144" s="4266"/>
      <c r="E144" s="4267"/>
      <c r="F144" s="1391"/>
      <c r="G144" s="4268" t="s">
        <v>1225</v>
      </c>
      <c r="H144" s="4269"/>
      <c r="I144" s="4269"/>
      <c r="J144" s="3604">
        <f>C144+F145-C145+F146-C146</f>
        <v>1086</v>
      </c>
      <c r="K144" s="4270" t="s">
        <v>1226</v>
      </c>
      <c r="L144" s="4101"/>
      <c r="M144" s="4101"/>
      <c r="N144" s="4101"/>
      <c r="O144" s="4101"/>
      <c r="P144" s="4101"/>
      <c r="Q144" s="4101"/>
      <c r="R144" s="4101"/>
      <c r="S144" s="1290"/>
      <c r="T144" s="1162"/>
    </row>
    <row r="145" spans="1:20" ht="15" customHeight="1">
      <c r="A145" s="492"/>
      <c r="B145" s="1392" t="s">
        <v>1227</v>
      </c>
      <c r="C145" s="1737">
        <v>1004</v>
      </c>
      <c r="D145" s="4271" t="s">
        <v>1228</v>
      </c>
      <c r="E145" s="4272"/>
      <c r="F145" s="1739">
        <v>1020</v>
      </c>
      <c r="G145" s="4244" t="s">
        <v>1229</v>
      </c>
      <c r="H145" s="4245"/>
      <c r="I145" s="4245"/>
      <c r="J145" s="1393">
        <f>J144-((C144-C145)+(F145-C146)+(F146-C147))</f>
        <v>994</v>
      </c>
      <c r="K145" s="4147"/>
      <c r="L145" s="4101"/>
      <c r="M145" s="4101"/>
      <c r="N145" s="4101"/>
      <c r="O145" s="4101"/>
      <c r="P145" s="4101"/>
      <c r="Q145" s="4101"/>
      <c r="R145" s="4101"/>
      <c r="S145" s="1290"/>
      <c r="T145" s="1162"/>
    </row>
    <row r="146" spans="1:20" ht="15" customHeight="1">
      <c r="A146" s="492"/>
      <c r="B146" s="1392" t="s">
        <v>1230</v>
      </c>
      <c r="C146" s="1737"/>
      <c r="D146" s="4273" t="s">
        <v>1228</v>
      </c>
      <c r="E146" s="4274"/>
      <c r="F146" s="1740"/>
      <c r="G146" s="4242" t="s">
        <v>1231</v>
      </c>
      <c r="H146" s="4243"/>
      <c r="I146" s="4243"/>
      <c r="J146" s="1394" t="str">
        <f>FIXED(((J144-J145)/(7.75-(3*(J144-1000)/800))),1)&amp;"%"</f>
        <v>12.4%</v>
      </c>
      <c r="K146" s="4147"/>
      <c r="L146" s="4101"/>
      <c r="M146" s="4101"/>
      <c r="N146" s="4101"/>
      <c r="O146" s="4101"/>
      <c r="P146" s="4101"/>
      <c r="Q146" s="4101"/>
      <c r="R146" s="4101"/>
      <c r="S146" s="1290"/>
      <c r="T146" s="1162"/>
    </row>
    <row r="147" spans="1:20" ht="15" customHeight="1">
      <c r="A147" s="492"/>
      <c r="B147" s="1395" t="s">
        <v>1232</v>
      </c>
      <c r="C147" s="1738">
        <v>994</v>
      </c>
      <c r="D147" s="4280" t="s">
        <v>1233</v>
      </c>
      <c r="E147" s="4281"/>
      <c r="F147" s="4281"/>
      <c r="G147" s="4281"/>
      <c r="H147" s="4281"/>
      <c r="I147" s="4281"/>
      <c r="J147" s="4282"/>
      <c r="K147" s="492"/>
      <c r="L147" s="492"/>
      <c r="M147" s="492"/>
      <c r="N147" s="492"/>
      <c r="O147" s="492"/>
      <c r="P147" s="492"/>
      <c r="Q147" s="492"/>
      <c r="R147" s="492"/>
      <c r="S147" s="1290"/>
      <c r="T147" s="1162"/>
    </row>
    <row r="148" spans="1:20" ht="15" customHeight="1">
      <c r="A148" s="492"/>
      <c r="B148" s="492"/>
      <c r="C148" s="492"/>
      <c r="D148" s="492"/>
      <c r="E148" s="492"/>
      <c r="F148" s="492"/>
      <c r="G148" s="492"/>
      <c r="H148" s="492"/>
      <c r="I148" s="492"/>
      <c r="J148" s="492"/>
      <c r="K148" s="492"/>
      <c r="L148" s="492"/>
      <c r="M148" s="492"/>
      <c r="N148" s="492"/>
      <c r="O148" s="492"/>
      <c r="P148" s="492"/>
      <c r="Q148" s="492"/>
      <c r="R148" s="492"/>
      <c r="S148" s="492"/>
      <c r="T148" s="1162"/>
    </row>
    <row r="149" spans="1:20" ht="15" customHeight="1">
      <c r="A149" s="1396"/>
      <c r="B149" s="1396"/>
      <c r="C149" s="1396"/>
      <c r="D149" s="1396"/>
      <c r="E149" s="1396"/>
      <c r="F149" s="1396"/>
      <c r="G149" s="1396"/>
      <c r="H149" s="1396"/>
      <c r="I149" s="1396"/>
      <c r="J149" s="1396"/>
      <c r="K149" s="1396"/>
      <c r="L149" s="1396"/>
      <c r="M149" s="1396"/>
      <c r="N149" s="1396"/>
      <c r="O149" s="1396"/>
      <c r="P149" s="1396"/>
      <c r="Q149" s="1396"/>
      <c r="R149" s="1396"/>
      <c r="S149" s="1396"/>
      <c r="T149" s="1162"/>
    </row>
    <row r="150" spans="1:20" ht="15" customHeight="1">
      <c r="A150" s="4283" t="s">
        <v>1034</v>
      </c>
      <c r="B150" s="4283"/>
      <c r="C150" s="4284" t="s">
        <v>1234</v>
      </c>
      <c r="D150" s="4284"/>
      <c r="E150" s="4284"/>
      <c r="F150" s="4284"/>
      <c r="G150" s="4284"/>
      <c r="H150" s="4284"/>
      <c r="I150" s="4284"/>
      <c r="J150" s="1397"/>
      <c r="K150" s="1396"/>
      <c r="L150" s="1396"/>
      <c r="M150" s="1396"/>
      <c r="N150" s="1396"/>
      <c r="O150" s="1396"/>
      <c r="P150" s="1396"/>
      <c r="Q150" s="1396"/>
      <c r="R150" s="1396"/>
      <c r="S150" s="1396"/>
      <c r="T150" s="1162"/>
    </row>
    <row r="151" spans="1:20" ht="15" customHeight="1">
      <c r="A151" s="492"/>
      <c r="B151" s="4233" t="s">
        <v>1235</v>
      </c>
      <c r="C151" s="4234"/>
      <c r="D151" s="4235"/>
      <c r="E151" s="1398" t="s">
        <v>1089</v>
      </c>
      <c r="F151" s="1398" t="s">
        <v>1091</v>
      </c>
      <c r="G151" s="1398" t="s">
        <v>1236</v>
      </c>
      <c r="H151" s="4236" t="s">
        <v>1237</v>
      </c>
      <c r="I151" s="4237"/>
      <c r="J151" s="4238"/>
      <c r="K151" s="4262" t="s">
        <v>1238</v>
      </c>
      <c r="L151" s="4117"/>
      <c r="M151" s="4117"/>
      <c r="N151" s="4117"/>
      <c r="O151" s="4117"/>
      <c r="P151" s="4117"/>
      <c r="Q151" s="3937"/>
      <c r="R151" s="1396"/>
      <c r="S151" s="1396"/>
      <c r="T151" s="1162"/>
    </row>
    <row r="152" spans="1:20" ht="15" customHeight="1">
      <c r="A152" s="492"/>
      <c r="B152" s="4263" t="s">
        <v>1239</v>
      </c>
      <c r="C152" s="4264"/>
      <c r="D152" s="4265"/>
      <c r="E152" s="1399"/>
      <c r="F152" s="1400" t="s">
        <v>1240</v>
      </c>
      <c r="G152" s="1399" t="s">
        <v>1241</v>
      </c>
      <c r="H152" s="4239"/>
      <c r="I152" s="4240"/>
      <c r="J152" s="4241"/>
      <c r="K152" s="3961"/>
      <c r="L152" s="4071"/>
      <c r="M152" s="4071"/>
      <c r="N152" s="4071"/>
      <c r="O152" s="4071"/>
      <c r="P152" s="4071"/>
      <c r="Q152" s="3962"/>
      <c r="R152" s="1396"/>
      <c r="S152" s="1396"/>
      <c r="T152" s="1162"/>
    </row>
    <row r="153" spans="1:20" ht="15" customHeight="1">
      <c r="A153" s="492"/>
      <c r="B153" s="3473" t="s">
        <v>1242</v>
      </c>
      <c r="C153" s="1736">
        <v>21</v>
      </c>
      <c r="D153" s="1884" t="s">
        <v>666</v>
      </c>
      <c r="E153" s="1401">
        <f>C153-F153</f>
        <v>10.5</v>
      </c>
      <c r="F153" s="1736">
        <v>10.5</v>
      </c>
      <c r="G153" s="1736">
        <v>10.5</v>
      </c>
      <c r="H153" s="4072" t="s">
        <v>1243</v>
      </c>
      <c r="I153" s="4073"/>
      <c r="J153" s="4074"/>
      <c r="K153" s="4072" t="s">
        <v>1244</v>
      </c>
      <c r="L153" s="4073"/>
      <c r="M153" s="4074"/>
      <c r="N153" s="1402">
        <f>E153+G153</f>
        <v>21</v>
      </c>
      <c r="O153" s="4230" t="s">
        <v>1245</v>
      </c>
      <c r="P153" s="4231"/>
      <c r="Q153" s="4232"/>
      <c r="R153" s="1396"/>
      <c r="S153" s="1396"/>
      <c r="T153" s="1162"/>
    </row>
    <row r="154" spans="1:20" ht="15" customHeight="1">
      <c r="A154" s="492"/>
      <c r="B154" s="1403" t="s">
        <v>1135</v>
      </c>
      <c r="C154" s="1137">
        <v>1040</v>
      </c>
      <c r="D154" s="4049" t="s">
        <v>1773</v>
      </c>
      <c r="E154" s="3839"/>
      <c r="F154" s="3840"/>
      <c r="G154" s="3841"/>
      <c r="H154" s="4042" t="s">
        <v>1950</v>
      </c>
      <c r="I154" s="4043"/>
      <c r="J154" s="4044"/>
      <c r="K154" s="4051" t="s">
        <v>1246</v>
      </c>
      <c r="L154" s="4052"/>
      <c r="M154" s="4053"/>
      <c r="N154" s="1404">
        <f>(E155*G153+G155*E153)/(E153+G153)</f>
        <v>1014</v>
      </c>
      <c r="O154" s="4051" t="s">
        <v>1247</v>
      </c>
      <c r="P154" s="4052"/>
      <c r="Q154" s="4053"/>
      <c r="R154" s="1396"/>
      <c r="S154" s="1396"/>
      <c r="T154" s="1162"/>
    </row>
    <row r="155" spans="1:20" ht="15" customHeight="1">
      <c r="A155" s="492"/>
      <c r="B155" s="1403" t="s">
        <v>1137</v>
      </c>
      <c r="C155" s="1137">
        <v>1014</v>
      </c>
      <c r="D155" s="4050"/>
      <c r="E155" s="1401">
        <f>C155</f>
        <v>1014</v>
      </c>
      <c r="F155" s="1405">
        <f>C155</f>
        <v>1014</v>
      </c>
      <c r="G155" s="1406">
        <f>1000+(C155-1000)*F153/G153</f>
        <v>1014</v>
      </c>
      <c r="H155" s="4064" t="s">
        <v>1248</v>
      </c>
      <c r="I155" s="4065"/>
      <c r="J155" s="4066"/>
      <c r="K155" s="4067" t="s">
        <v>1249</v>
      </c>
      <c r="L155" s="4068"/>
      <c r="M155" s="4069"/>
      <c r="N155" s="1741">
        <v>3.15</v>
      </c>
      <c r="O155" s="4070" t="str">
        <f>"g ̸ litre, equivalent to "&amp;FIXED(N155/N166)&amp;" tsp"</f>
        <v>g ̸ litre, equivalent to 1.00 tsp</v>
      </c>
      <c r="P155" s="4071"/>
      <c r="Q155" s="3962"/>
      <c r="R155" s="1396"/>
      <c r="S155" s="1396"/>
      <c r="T155" s="1162"/>
    </row>
    <row r="156" spans="1:20" ht="15" customHeight="1">
      <c r="A156" s="492"/>
      <c r="B156" s="1407" t="s">
        <v>1250</v>
      </c>
      <c r="C156" s="1408">
        <f>(C154-C155)/(7.75-(3*(C154-1000)/800))</f>
        <v>3.4210526315789473</v>
      </c>
      <c r="D156" s="1409" t="s">
        <v>1248</v>
      </c>
      <c r="E156" s="1410">
        <f>C156</f>
        <v>3.4210526315789473</v>
      </c>
      <c r="F156" s="1411">
        <f>E156</f>
        <v>3.4210526315789473</v>
      </c>
      <c r="G156" s="1721">
        <v>0</v>
      </c>
      <c r="H156" s="4017" t="s">
        <v>1251</v>
      </c>
      <c r="I156" s="4018"/>
      <c r="J156" s="4019"/>
      <c r="K156" s="4020" t="s">
        <v>1252</v>
      </c>
      <c r="L156" s="4021"/>
      <c r="M156" s="4022"/>
      <c r="N156" s="1412">
        <f>(C156*E153+G153*G156)/N153+(0.001*N155*365)/(7.75-(3*(C155-1000)/800))</f>
        <v>1.8598929932821662</v>
      </c>
      <c r="O156" s="4017" t="s">
        <v>1248</v>
      </c>
      <c r="P156" s="4018"/>
      <c r="Q156" s="4019"/>
      <c r="R156" s="1396"/>
      <c r="S156" s="1396"/>
      <c r="T156" s="1162"/>
    </row>
    <row r="157" spans="1:20" ht="15" customHeight="1">
      <c r="A157" s="514"/>
      <c r="B157" s="4023" t="s">
        <v>1253</v>
      </c>
      <c r="C157" s="4023"/>
      <c r="D157" s="4023"/>
      <c r="E157" s="4023"/>
      <c r="F157" s="4023"/>
      <c r="G157" s="4023"/>
      <c r="H157" s="4023"/>
      <c r="I157" s="4023"/>
      <c r="J157" s="4023"/>
      <c r="K157" s="4023"/>
      <c r="L157" s="4023"/>
      <c r="M157" s="4023"/>
      <c r="N157" s="4023"/>
      <c r="O157" s="4023"/>
      <c r="P157" s="4023"/>
      <c r="Q157" s="4023"/>
      <c r="R157" s="1396"/>
      <c r="S157" s="1396"/>
      <c r="T157" s="1162"/>
    </row>
    <row r="158" spans="1:20" ht="15" customHeight="1">
      <c r="A158" s="514"/>
      <c r="B158" s="4024"/>
      <c r="C158" s="4024"/>
      <c r="D158" s="4024"/>
      <c r="E158" s="4024"/>
      <c r="F158" s="4024"/>
      <c r="G158" s="4024"/>
      <c r="H158" s="4024"/>
      <c r="I158" s="4024"/>
      <c r="J158" s="4024"/>
      <c r="K158" s="4024"/>
      <c r="L158" s="4024"/>
      <c r="M158" s="4024"/>
      <c r="N158" s="4024"/>
      <c r="O158" s="4024"/>
      <c r="P158" s="4024"/>
      <c r="Q158" s="4024"/>
      <c r="R158" s="1396"/>
      <c r="S158" s="1396"/>
      <c r="T158" s="1162"/>
    </row>
    <row r="159" spans="1:20" ht="15" customHeight="1">
      <c r="A159" s="1396"/>
      <c r="B159" s="1396"/>
      <c r="C159" s="1396"/>
      <c r="D159" s="1396"/>
      <c r="E159" s="1396"/>
      <c r="F159" s="1396"/>
      <c r="G159" s="1396"/>
      <c r="H159" s="1396"/>
      <c r="I159" s="1396"/>
      <c r="J159" s="1396"/>
      <c r="K159" s="1396"/>
      <c r="L159" s="1396"/>
      <c r="M159" s="1396"/>
      <c r="N159" s="1396"/>
      <c r="O159" s="1396"/>
      <c r="P159" s="1396"/>
      <c r="Q159" s="1396"/>
      <c r="R159" s="1396"/>
      <c r="S159" s="1396"/>
      <c r="T159" s="1162"/>
    </row>
    <row r="160" spans="1:20" ht="15" customHeight="1">
      <c r="A160" s="1396"/>
      <c r="B160" s="1396"/>
      <c r="C160" s="1396"/>
      <c r="D160" s="1396"/>
      <c r="E160" s="1396"/>
      <c r="F160" s="1396"/>
      <c r="G160" s="1396"/>
      <c r="H160" s="1396"/>
      <c r="I160" s="1396"/>
      <c r="J160" s="1396"/>
      <c r="K160" s="1396"/>
      <c r="L160" s="1396"/>
      <c r="M160" s="1396"/>
      <c r="N160" s="1396"/>
      <c r="O160" s="1396"/>
      <c r="P160" s="1396"/>
      <c r="Q160" s="1396"/>
      <c r="R160" s="1396"/>
      <c r="S160" s="1396"/>
      <c r="T160" s="1162"/>
    </row>
    <row r="161" spans="1:20" ht="15" customHeight="1">
      <c r="A161" s="4025" t="s">
        <v>1035</v>
      </c>
      <c r="B161" s="4025"/>
      <c r="C161" s="1396"/>
      <c r="D161" s="1396"/>
      <c r="E161" s="1396"/>
      <c r="F161" s="1396"/>
      <c r="G161" s="1396"/>
      <c r="H161" s="1396"/>
      <c r="I161" s="1396"/>
      <c r="J161" s="1396"/>
      <c r="K161" s="1396"/>
      <c r="L161" s="1396"/>
      <c r="M161" s="1396"/>
      <c r="N161" s="1396"/>
      <c r="O161" s="1396"/>
      <c r="P161" s="1396"/>
      <c r="Q161" s="1396"/>
      <c r="R161" s="1396"/>
      <c r="S161" s="1396"/>
      <c r="T161" s="1162"/>
    </row>
    <row r="162" spans="1:20" ht="15" customHeight="1">
      <c r="A162" s="4026" t="s">
        <v>1254</v>
      </c>
      <c r="B162" s="4026"/>
      <c r="C162" s="4027" t="s">
        <v>210</v>
      </c>
      <c r="D162" s="4027"/>
      <c r="E162" s="4027"/>
      <c r="F162" s="4027"/>
      <c r="G162" s="4027"/>
      <c r="H162" s="4028" t="s">
        <v>211</v>
      </c>
      <c r="I162" s="4029"/>
      <c r="J162" s="1742">
        <f>N155</f>
        <v>3.15</v>
      </c>
      <c r="K162" s="4030" t="str">
        <f>"g ̸ litre is equivalent to "&amp;FIXED(N162*J162,1)&amp;"g in"</f>
        <v>g ̸ litre is equivalent to 66.2g in</v>
      </c>
      <c r="L162" s="4031"/>
      <c r="M162" s="4032"/>
      <c r="N162" s="1743">
        <f>N153</f>
        <v>21</v>
      </c>
      <c r="O162" s="1413" t="s">
        <v>212</v>
      </c>
      <c r="P162" s="1606"/>
      <c r="Q162" s="1606"/>
      <c r="R162" s="1414"/>
      <c r="S162" s="1414"/>
      <c r="T162" s="1162"/>
    </row>
    <row r="163" spans="1:20" ht="15" customHeight="1">
      <c r="A163" s="492"/>
      <c r="B163" s="447"/>
      <c r="C163" s="4034" t="s">
        <v>214</v>
      </c>
      <c r="D163" s="4034"/>
      <c r="E163" s="4034"/>
      <c r="F163" s="4034"/>
      <c r="G163" s="4034"/>
      <c r="H163" s="3487"/>
      <c r="I163" s="1683"/>
      <c r="J163" s="447"/>
      <c r="K163" s="447"/>
      <c r="L163" s="447"/>
      <c r="M163" s="447"/>
      <c r="N163" s="447"/>
      <c r="O163" s="447"/>
      <c r="P163" s="1606"/>
      <c r="Q163" s="1606"/>
      <c r="R163" s="1414"/>
      <c r="S163" s="1414"/>
      <c r="T163" s="1162"/>
    </row>
    <row r="164" spans="1:20" ht="15" customHeight="1">
      <c r="A164" s="492"/>
      <c r="B164" s="3504"/>
      <c r="C164" s="4034" t="s">
        <v>217</v>
      </c>
      <c r="D164" s="4034"/>
      <c r="E164" s="4034"/>
      <c r="F164" s="4034"/>
      <c r="G164" s="4034"/>
      <c r="H164" s="3487"/>
      <c r="I164" s="451"/>
      <c r="J164" s="1605" t="s">
        <v>218</v>
      </c>
      <c r="K164" s="4035" t="s">
        <v>219</v>
      </c>
      <c r="L164" s="4036"/>
      <c r="M164" s="4037"/>
      <c r="N164" s="4045" t="s">
        <v>1807</v>
      </c>
      <c r="O164" s="4046"/>
      <c r="P164" s="1606"/>
      <c r="Q164" s="1606"/>
      <c r="R164" s="1414"/>
      <c r="S164" s="1414"/>
      <c r="T164" s="1162"/>
    </row>
    <row r="165" spans="1:20" ht="15" customHeight="1">
      <c r="A165" s="492"/>
      <c r="B165" s="471"/>
      <c r="C165" s="4038" t="s">
        <v>221</v>
      </c>
      <c r="D165" s="4038"/>
      <c r="E165" s="4038"/>
      <c r="F165" s="4038"/>
      <c r="G165" s="4038"/>
      <c r="H165" s="4038"/>
      <c r="I165" s="4038"/>
      <c r="J165" s="1415">
        <f>K165*0.2489/0.262</f>
        <v>0.95</v>
      </c>
      <c r="K165" s="4039">
        <v>1</v>
      </c>
      <c r="L165" s="4040"/>
      <c r="M165" s="4041"/>
      <c r="N165" s="4047">
        <f>K165*0.262/0.2489</f>
        <v>1.0526315789473684</v>
      </c>
      <c r="O165" s="4048"/>
      <c r="P165" s="1606"/>
      <c r="Q165" s="1606"/>
      <c r="R165" s="1414"/>
      <c r="S165" s="1414"/>
      <c r="T165" s="1162"/>
    </row>
    <row r="166" spans="1:20" ht="15" customHeight="1">
      <c r="A166" s="492"/>
      <c r="B166" s="2551"/>
      <c r="C166" s="2551"/>
      <c r="D166" s="2551"/>
      <c r="E166" s="2551"/>
      <c r="F166" s="1606"/>
      <c r="G166" s="1606"/>
      <c r="H166" s="1606"/>
      <c r="I166" s="1606"/>
      <c r="J166" s="4016" t="s">
        <v>1255</v>
      </c>
      <c r="K166" s="4016"/>
      <c r="L166" s="4016"/>
      <c r="M166" s="4016"/>
      <c r="N166" s="2504">
        <v>3.15</v>
      </c>
      <c r="O166" s="4033" t="s">
        <v>1256</v>
      </c>
      <c r="P166" s="4033"/>
      <c r="Q166" s="1606"/>
      <c r="R166" s="1414"/>
      <c r="S166" s="1414"/>
      <c r="T166" s="1162"/>
    </row>
    <row r="167" spans="1:20">
      <c r="A167" s="514"/>
      <c r="B167" s="514"/>
      <c r="C167" s="514"/>
      <c r="D167" s="514"/>
      <c r="E167" s="514"/>
      <c r="F167" s="514"/>
      <c r="G167" s="514"/>
      <c r="H167" s="514"/>
      <c r="I167" s="514"/>
      <c r="J167" s="514"/>
      <c r="K167" s="514"/>
      <c r="L167" s="514"/>
      <c r="M167" s="514"/>
      <c r="N167" s="514"/>
      <c r="O167" s="514"/>
      <c r="P167" s="514"/>
      <c r="Q167" s="514"/>
      <c r="R167" s="514"/>
      <c r="S167" s="514"/>
      <c r="T167" s="1162"/>
    </row>
    <row r="168" spans="1:20" s="1615" customFormat="1" ht="15" customHeight="1">
      <c r="A168" s="492"/>
      <c r="B168" s="3895" t="s">
        <v>1808</v>
      </c>
      <c r="C168" s="3895"/>
      <c r="D168" s="3895"/>
      <c r="E168" s="3895"/>
      <c r="F168" s="3895"/>
      <c r="G168" s="3895"/>
      <c r="H168" s="3895"/>
      <c r="I168" s="3895"/>
      <c r="J168" s="3895"/>
      <c r="K168" s="3895"/>
      <c r="L168" s="3895"/>
      <c r="M168" s="3895"/>
      <c r="N168" s="3895"/>
      <c r="O168" s="3895"/>
      <c r="P168" s="3895"/>
      <c r="Q168" s="2475"/>
      <c r="R168" s="1414"/>
      <c r="S168" s="1414"/>
      <c r="T168" s="1162"/>
    </row>
    <row r="169" spans="1:20" s="1615" customFormat="1" ht="15" customHeight="1">
      <c r="A169" s="492"/>
      <c r="B169" s="2551"/>
      <c r="C169" s="2551"/>
      <c r="D169" s="2551"/>
      <c r="E169" s="2551"/>
      <c r="F169" s="1606"/>
      <c r="G169" s="1606"/>
      <c r="H169" s="1606"/>
      <c r="I169" s="1606"/>
      <c r="J169" s="3510"/>
      <c r="K169" s="3510"/>
      <c r="L169" s="3510"/>
      <c r="M169" s="3510"/>
      <c r="N169" s="3510"/>
      <c r="O169" s="3510"/>
      <c r="P169" s="3510"/>
      <c r="Q169" s="1606"/>
      <c r="R169" s="1414"/>
      <c r="S169" s="1414"/>
      <c r="T169" s="1162"/>
    </row>
    <row r="170" spans="1:20" s="1615" customFormat="1" ht="15" customHeight="1">
      <c r="A170" s="492"/>
      <c r="B170" s="2551"/>
      <c r="C170" s="2551"/>
      <c r="D170" s="2551"/>
      <c r="E170" s="2551"/>
      <c r="F170" s="1606"/>
      <c r="G170" s="1606"/>
      <c r="H170" s="1606"/>
      <c r="I170" s="1606"/>
      <c r="J170" s="3800"/>
      <c r="K170" s="3800"/>
      <c r="L170" s="3800"/>
      <c r="M170" s="3800"/>
      <c r="N170" s="3800"/>
      <c r="O170" s="3800"/>
      <c r="P170" s="3800"/>
      <c r="Q170" s="1606"/>
      <c r="R170" s="1414"/>
      <c r="S170" s="1414"/>
      <c r="T170" s="1162"/>
    </row>
    <row r="171" spans="1:20" ht="15" customHeight="1">
      <c r="A171" s="4015" t="s">
        <v>1257</v>
      </c>
      <c r="B171" s="4015"/>
      <c r="C171" s="4015"/>
      <c r="D171" s="492"/>
      <c r="E171" s="492"/>
      <c r="F171" s="492"/>
      <c r="G171" s="492"/>
      <c r="H171" s="492"/>
      <c r="I171" s="492"/>
      <c r="J171" s="3800"/>
      <c r="K171" s="3800"/>
      <c r="L171" s="492"/>
      <c r="M171" s="492"/>
      <c r="N171" s="492"/>
      <c r="O171" s="492"/>
      <c r="P171" s="1416"/>
      <c r="Q171" s="1416"/>
      <c r="R171" s="1416"/>
      <c r="S171" s="1416"/>
      <c r="T171" s="1162"/>
    </row>
    <row r="172" spans="1:20" ht="15" customHeight="1">
      <c r="A172" s="1133"/>
      <c r="B172" s="4014" t="s">
        <v>1258</v>
      </c>
      <c r="C172" s="4014"/>
      <c r="D172" s="4014"/>
      <c r="E172" s="255">
        <v>10</v>
      </c>
      <c r="F172" s="4005" t="s">
        <v>1259</v>
      </c>
      <c r="G172" s="4005"/>
      <c r="H172" s="480"/>
      <c r="I172" s="480"/>
      <c r="J172" s="3800"/>
      <c r="K172" s="3800"/>
      <c r="L172" s="1133"/>
      <c r="M172" s="344"/>
      <c r="N172" s="4006" t="s">
        <v>1260</v>
      </c>
      <c r="O172" s="3937"/>
      <c r="P172" s="4007" t="s">
        <v>1261</v>
      </c>
      <c r="Q172" s="4008"/>
      <c r="R172" s="492"/>
      <c r="S172" s="492"/>
      <c r="T172" s="1162"/>
    </row>
    <row r="173" spans="1:20" ht="15" customHeight="1">
      <c r="A173" s="492"/>
      <c r="B173" s="1417" t="s">
        <v>1262</v>
      </c>
      <c r="C173" s="1418"/>
      <c r="D173" s="4012" t="s">
        <v>1263</v>
      </c>
      <c r="E173" s="4013"/>
      <c r="F173" s="1419" t="s">
        <v>661</v>
      </c>
      <c r="G173" s="1420" t="s">
        <v>73</v>
      </c>
      <c r="H173" s="3801" t="s">
        <v>1943</v>
      </c>
      <c r="I173" s="492"/>
      <c r="J173" s="3800"/>
      <c r="K173" s="3800"/>
      <c r="L173" s="1421"/>
      <c r="M173" s="1421"/>
      <c r="N173" s="3961"/>
      <c r="O173" s="3962"/>
      <c r="P173" s="4009" t="s">
        <v>1264</v>
      </c>
      <c r="Q173" s="4010"/>
      <c r="R173" s="492"/>
      <c r="S173" s="492"/>
      <c r="T173" s="1162"/>
    </row>
    <row r="174" spans="1:20" ht="15" customHeight="1">
      <c r="A174" s="492"/>
      <c r="B174" s="1744">
        <v>500</v>
      </c>
      <c r="C174" s="1422" t="s">
        <v>1265</v>
      </c>
      <c r="D174" s="4003">
        <v>1</v>
      </c>
      <c r="E174" s="4004"/>
      <c r="F174" s="3803">
        <v>3.8</v>
      </c>
      <c r="G174" s="1423">
        <f>(B174*F174*D174)/(100*E$172)</f>
        <v>1.9</v>
      </c>
      <c r="H174" s="3801" t="str">
        <f>D174*B174&amp;"ml"</f>
        <v>500ml</v>
      </c>
      <c r="I174" s="492"/>
      <c r="J174" s="3800"/>
      <c r="K174" s="3800"/>
      <c r="L174" s="1421"/>
      <c r="M174" s="1421"/>
      <c r="N174" s="4001" t="s">
        <v>1266</v>
      </c>
      <c r="O174" s="4002"/>
      <c r="P174" s="3789">
        <v>12.7</v>
      </c>
      <c r="Q174" s="3790">
        <f t="shared" ref="Q174:Q197" si="1">P174*P$199/1000</f>
        <v>10.025379999999998</v>
      </c>
      <c r="R174" s="492"/>
      <c r="S174" s="492"/>
      <c r="T174" s="1162"/>
    </row>
    <row r="175" spans="1:20" ht="15" customHeight="1">
      <c r="A175" s="492"/>
      <c r="B175" s="1745">
        <v>1</v>
      </c>
      <c r="C175" s="1425" t="s">
        <v>1941</v>
      </c>
      <c r="D175" s="4003">
        <v>2</v>
      </c>
      <c r="E175" s="4004"/>
      <c r="F175" s="3803">
        <v>3.8</v>
      </c>
      <c r="G175" s="1408">
        <f>(B175*568.3*F175*D175)/(100*E$172)</f>
        <v>4.3190799999999987</v>
      </c>
      <c r="H175" s="3802" t="str">
        <f>D175*FIXED(B175*568,0)&amp;"ml"</f>
        <v>1136ml</v>
      </c>
      <c r="I175" s="1187"/>
      <c r="J175" s="1421"/>
      <c r="K175" s="1421"/>
      <c r="L175" s="1421"/>
      <c r="M175" s="1421"/>
      <c r="N175" s="3896" t="s">
        <v>1267</v>
      </c>
      <c r="O175" s="3898"/>
      <c r="P175" s="3791">
        <v>7.62</v>
      </c>
      <c r="Q175" s="3792">
        <f t="shared" si="1"/>
        <v>6.0152280000000005</v>
      </c>
      <c r="R175" s="492"/>
      <c r="S175" s="492"/>
      <c r="T175" s="1162"/>
    </row>
    <row r="176" spans="1:20" ht="15" customHeight="1">
      <c r="A176" s="492"/>
      <c r="B176" s="1746">
        <v>16</v>
      </c>
      <c r="C176" s="1425" t="s">
        <v>1942</v>
      </c>
      <c r="D176" s="4003">
        <v>3</v>
      </c>
      <c r="E176" s="4004"/>
      <c r="F176" s="3803">
        <v>3.8</v>
      </c>
      <c r="G176" s="1408">
        <f>(B176*F176*D176/0.0338)/(100*E$172)</f>
        <v>5.3964497041420119</v>
      </c>
      <c r="H176" s="3802" t="str">
        <f>D176*FIXED(B176*29.5735,0)&amp;"ml"</f>
        <v>1419ml</v>
      </c>
      <c r="I176" s="492"/>
      <c r="J176" s="1421"/>
      <c r="K176" s="1421"/>
      <c r="L176" s="1421"/>
      <c r="M176" s="1421"/>
      <c r="N176" s="3896" t="s">
        <v>1268</v>
      </c>
      <c r="O176" s="3898"/>
      <c r="P176" s="3791">
        <v>17.2</v>
      </c>
      <c r="Q176" s="3792">
        <f t="shared" si="1"/>
        <v>13.577679999999999</v>
      </c>
      <c r="R176" s="492"/>
      <c r="S176" s="492"/>
      <c r="T176" s="1162"/>
    </row>
    <row r="177" spans="1:20" ht="15" customHeight="1">
      <c r="A177" s="530"/>
      <c r="B177" s="4011" t="s">
        <v>1269</v>
      </c>
      <c r="C177" s="4011"/>
      <c r="D177" s="4011"/>
      <c r="E177" s="4011"/>
      <c r="F177" s="4011"/>
      <c r="G177" s="4011"/>
      <c r="H177" s="4011"/>
      <c r="I177" s="1426"/>
      <c r="J177" s="1421"/>
      <c r="K177" s="1421"/>
      <c r="L177" s="1421"/>
      <c r="M177" s="1421"/>
      <c r="N177" s="3947" t="s">
        <v>1270</v>
      </c>
      <c r="O177" s="3898"/>
      <c r="P177" s="3793">
        <v>15.2</v>
      </c>
      <c r="Q177" s="3792">
        <f t="shared" si="1"/>
        <v>11.99888</v>
      </c>
      <c r="R177" s="492"/>
      <c r="S177" s="492"/>
      <c r="T177" s="1162"/>
    </row>
    <row r="178" spans="1:20" ht="15" customHeight="1">
      <c r="A178" s="530"/>
      <c r="B178" s="4000" t="s">
        <v>1271</v>
      </c>
      <c r="C178" s="4000"/>
      <c r="D178" s="4000"/>
      <c r="E178" s="4000"/>
      <c r="F178" s="4000"/>
      <c r="G178" s="4000"/>
      <c r="H178" s="4000"/>
      <c r="I178" s="362"/>
      <c r="J178" s="362"/>
      <c r="K178" s="362"/>
      <c r="L178" s="362"/>
      <c r="M178" s="1421"/>
      <c r="N178" s="3950" t="s">
        <v>1272</v>
      </c>
      <c r="O178" s="3898"/>
      <c r="P178" s="3793">
        <v>15.2</v>
      </c>
      <c r="Q178" s="3792">
        <f t="shared" si="1"/>
        <v>11.99888</v>
      </c>
      <c r="R178" s="492"/>
      <c r="S178" s="492"/>
      <c r="T178" s="1162"/>
    </row>
    <row r="179" spans="1:20" ht="15" customHeight="1">
      <c r="A179" s="530"/>
      <c r="B179" s="1427"/>
      <c r="C179" s="1427"/>
      <c r="D179" s="1427"/>
      <c r="E179" s="1427"/>
      <c r="F179" s="1427"/>
      <c r="G179" s="1427"/>
      <c r="H179" s="1427"/>
      <c r="I179" s="362"/>
      <c r="J179" s="362"/>
      <c r="K179" s="362"/>
      <c r="L179" s="362"/>
      <c r="M179" s="1421"/>
      <c r="N179" s="3947" t="s">
        <v>1273</v>
      </c>
      <c r="O179" s="3898"/>
      <c r="P179" s="3793">
        <v>12.7</v>
      </c>
      <c r="Q179" s="3792">
        <f t="shared" si="1"/>
        <v>10.025379999999998</v>
      </c>
      <c r="R179" s="492"/>
      <c r="S179" s="492"/>
      <c r="T179" s="1162"/>
    </row>
    <row r="180" spans="1:20" ht="15" customHeight="1">
      <c r="A180" s="530"/>
      <c r="B180" s="530"/>
      <c r="C180" s="530"/>
      <c r="D180" s="530"/>
      <c r="E180" s="530"/>
      <c r="F180" s="530"/>
      <c r="G180" s="530"/>
      <c r="H180" s="530"/>
      <c r="I180" s="530"/>
      <c r="J180" s="530"/>
      <c r="K180" s="530"/>
      <c r="L180" s="530"/>
      <c r="M180" s="1421"/>
      <c r="N180" s="3947" t="s">
        <v>1274</v>
      </c>
      <c r="O180" s="3898"/>
      <c r="P180" s="3793">
        <v>21.5</v>
      </c>
      <c r="Q180" s="3792">
        <f t="shared" si="1"/>
        <v>16.972099999999998</v>
      </c>
      <c r="R180" s="492"/>
      <c r="S180" s="492"/>
      <c r="T180" s="1162"/>
    </row>
    <row r="181" spans="1:20" ht="15" customHeight="1">
      <c r="A181" s="3972" t="s">
        <v>1275</v>
      </c>
      <c r="B181" s="3972"/>
      <c r="C181" s="3972"/>
      <c r="D181" s="3972"/>
      <c r="E181" s="3972"/>
      <c r="F181" s="3972"/>
      <c r="G181" s="3972"/>
      <c r="H181" s="3972"/>
      <c r="I181" s="3972"/>
      <c r="J181" s="3972"/>
      <c r="K181" s="3972"/>
      <c r="L181" s="514"/>
      <c r="M181" s="1421"/>
      <c r="N181" s="3950" t="s">
        <v>1276</v>
      </c>
      <c r="O181" s="3898"/>
      <c r="P181" s="3793">
        <v>10</v>
      </c>
      <c r="Q181" s="3792">
        <f t="shared" si="1"/>
        <v>7.8940000000000001</v>
      </c>
      <c r="R181" s="492"/>
      <c r="S181" s="492"/>
      <c r="T181" s="1162"/>
    </row>
    <row r="182" spans="1:20" ht="15" customHeight="1">
      <c r="A182" s="1428"/>
      <c r="B182" s="3842" t="s">
        <v>722</v>
      </c>
      <c r="C182" s="1429" t="s">
        <v>1277</v>
      </c>
      <c r="D182" s="3973" t="s">
        <v>1278</v>
      </c>
      <c r="E182" s="3974"/>
      <c r="F182" s="530"/>
      <c r="G182" s="3975">
        <f>(6.141592+((I184+I221*J216)*K216)*G175^G176)/100</f>
        <v>13809.780116434107</v>
      </c>
      <c r="H182" s="3976"/>
      <c r="I182" s="1430" t="s">
        <v>1277</v>
      </c>
      <c r="J182" s="3979" t="s">
        <v>1278</v>
      </c>
      <c r="K182" s="3937"/>
      <c r="L182" s="3980" t="s">
        <v>1279</v>
      </c>
      <c r="M182" s="530"/>
      <c r="N182" s="3947" t="s">
        <v>1280</v>
      </c>
      <c r="O182" s="3898"/>
      <c r="P182" s="3793">
        <v>12.7</v>
      </c>
      <c r="Q182" s="3792">
        <f t="shared" si="1"/>
        <v>10.025379999999998</v>
      </c>
      <c r="R182" s="492"/>
      <c r="S182" s="492"/>
      <c r="T182" s="1162"/>
    </row>
    <row r="183" spans="1:20" ht="15" customHeight="1">
      <c r="A183" s="1428"/>
      <c r="B183" s="1431" t="s">
        <v>1281</v>
      </c>
      <c r="C183" s="1432" t="s">
        <v>1282</v>
      </c>
      <c r="D183" s="1433" t="s">
        <v>1283</v>
      </c>
      <c r="E183" s="1434" t="s">
        <v>1284</v>
      </c>
      <c r="F183" s="1435"/>
      <c r="G183" s="3977"/>
      <c r="H183" s="3978"/>
      <c r="I183" s="1436" t="s">
        <v>1282</v>
      </c>
      <c r="J183" s="1437" t="s">
        <v>1283</v>
      </c>
      <c r="K183" s="1438" t="s">
        <v>1284</v>
      </c>
      <c r="L183" s="3981"/>
      <c r="M183" s="492"/>
      <c r="N183" s="3947" t="s">
        <v>1285</v>
      </c>
      <c r="O183" s="3898"/>
      <c r="P183" s="3793">
        <v>12.7</v>
      </c>
      <c r="Q183" s="3792">
        <f t="shared" si="1"/>
        <v>10.025379999999998</v>
      </c>
      <c r="R183" s="492"/>
      <c r="S183" s="492"/>
      <c r="T183" s="1162"/>
    </row>
    <row r="184" spans="1:20" ht="15" customHeight="1">
      <c r="A184" s="1428"/>
      <c r="B184" s="1439"/>
      <c r="C184" s="3805">
        <v>175</v>
      </c>
      <c r="D184" s="1752">
        <v>5</v>
      </c>
      <c r="E184" s="1753">
        <v>9</v>
      </c>
      <c r="F184" s="1435"/>
      <c r="G184" s="3948" t="s">
        <v>1286</v>
      </c>
      <c r="H184" s="3949"/>
      <c r="I184" s="3825">
        <v>90</v>
      </c>
      <c r="J184" s="3843" t="s">
        <v>1945</v>
      </c>
      <c r="K184" s="1749">
        <v>33</v>
      </c>
      <c r="L184" s="3981"/>
      <c r="M184" s="492"/>
      <c r="N184" s="3947" t="s">
        <v>1287</v>
      </c>
      <c r="O184" s="3898"/>
      <c r="P184" s="3793">
        <v>25</v>
      </c>
      <c r="Q184" s="3792">
        <f t="shared" si="1"/>
        <v>19.734999999999999</v>
      </c>
      <c r="R184" s="492"/>
      <c r="S184" s="492"/>
      <c r="T184" s="1162"/>
    </row>
    <row r="185" spans="1:20" ht="15" customHeight="1">
      <c r="A185" s="1428"/>
      <c r="B185" s="1431" t="s">
        <v>1288</v>
      </c>
      <c r="C185" s="1440" t="s">
        <v>1078</v>
      </c>
      <c r="D185" s="1441" t="s">
        <v>1289</v>
      </c>
      <c r="E185" s="1442" t="s">
        <v>676</v>
      </c>
      <c r="F185" s="1435"/>
      <c r="G185" s="3945" t="s">
        <v>1281</v>
      </c>
      <c r="H185" s="3946"/>
      <c r="I185" s="3826">
        <v>170</v>
      </c>
      <c r="J185" s="1751">
        <v>5</v>
      </c>
      <c r="K185" s="1750">
        <v>7</v>
      </c>
      <c r="L185" s="3981"/>
      <c r="M185" s="492"/>
      <c r="N185" s="3947" t="s">
        <v>1290</v>
      </c>
      <c r="O185" s="3898"/>
      <c r="P185" s="3793">
        <v>12.5</v>
      </c>
      <c r="Q185" s="3792">
        <f t="shared" si="1"/>
        <v>9.8674999999999997</v>
      </c>
      <c r="R185" s="492"/>
      <c r="S185" s="492"/>
      <c r="T185" s="1162"/>
    </row>
    <row r="186" spans="1:20" ht="15" customHeight="1">
      <c r="A186" s="1428"/>
      <c r="B186" s="1439"/>
      <c r="C186" s="1755">
        <v>75</v>
      </c>
      <c r="D186" s="1756">
        <v>11</v>
      </c>
      <c r="E186" s="3569">
        <v>7</v>
      </c>
      <c r="F186" s="530"/>
      <c r="G186" s="3948" t="s">
        <v>1291</v>
      </c>
      <c r="H186" s="3949"/>
      <c r="I186" s="1443">
        <f>100*(I184/I185)</f>
        <v>52.941176470588239</v>
      </c>
      <c r="J186" s="1444"/>
      <c r="K186" s="1445">
        <f>100*K184/(12*J185+K185)</f>
        <v>49.253731343283583</v>
      </c>
      <c r="L186" s="3981"/>
      <c r="M186" s="492"/>
      <c r="N186" s="3950" t="s">
        <v>1292</v>
      </c>
      <c r="O186" s="3898"/>
      <c r="P186" s="3793">
        <v>12.7</v>
      </c>
      <c r="Q186" s="3792">
        <f t="shared" si="1"/>
        <v>10.025379999999998</v>
      </c>
      <c r="R186" s="492"/>
      <c r="S186" s="492"/>
      <c r="T186" s="1162"/>
    </row>
    <row r="187" spans="1:20" ht="15" customHeight="1">
      <c r="A187" s="1428"/>
      <c r="B187" s="1446" t="s">
        <v>1293</v>
      </c>
      <c r="C187" s="1447">
        <f>C186/100000*(C184^2)</f>
        <v>22.96875</v>
      </c>
      <c r="D187" s="3951">
        <f>K211/(K210^2)</f>
        <v>23.796665950819829</v>
      </c>
      <c r="E187" s="3952"/>
      <c r="F187" s="530"/>
      <c r="G187" s="3953" t="s">
        <v>1294</v>
      </c>
      <c r="H187" s="3954"/>
      <c r="I187" s="1448">
        <f>100*(I184/I185)</f>
        <v>52.941176470588239</v>
      </c>
      <c r="J187" s="1449"/>
      <c r="K187" s="1450">
        <f>100*K184/(12*J185+K185)</f>
        <v>49.253731343283583</v>
      </c>
      <c r="L187" s="3981"/>
      <c r="M187" s="492"/>
      <c r="N187" s="3947" t="s">
        <v>1295</v>
      </c>
      <c r="O187" s="3898"/>
      <c r="P187" s="3793">
        <v>12.7</v>
      </c>
      <c r="Q187" s="3792">
        <f t="shared" si="1"/>
        <v>10.025379999999998</v>
      </c>
      <c r="R187" s="492"/>
      <c r="S187" s="492"/>
      <c r="T187" s="1162"/>
    </row>
    <row r="188" spans="1:20" ht="15" customHeight="1">
      <c r="A188" s="1428"/>
      <c r="B188" s="1451" t="s">
        <v>1296</v>
      </c>
      <c r="C188" s="3994" t="s">
        <v>1297</v>
      </c>
      <c r="D188" s="3995"/>
      <c r="E188" s="3996"/>
      <c r="F188" s="514"/>
      <c r="G188" s="3963"/>
      <c r="H188" s="3965" t="s">
        <v>1298</v>
      </c>
      <c r="I188" s="3966"/>
      <c r="J188" s="3967"/>
      <c r="K188" s="3963"/>
      <c r="L188" s="3981"/>
      <c r="M188" s="492"/>
      <c r="N188" s="3947" t="s">
        <v>1299</v>
      </c>
      <c r="O188" s="3898"/>
      <c r="P188" s="3793">
        <v>17.7</v>
      </c>
      <c r="Q188" s="3792">
        <f t="shared" si="1"/>
        <v>13.972379999999999</v>
      </c>
      <c r="R188" s="492"/>
      <c r="S188" s="492"/>
      <c r="T188" s="1162"/>
    </row>
    <row r="189" spans="1:20" ht="15" customHeight="1">
      <c r="A189" s="1428"/>
      <c r="B189" s="1452" t="s">
        <v>1300</v>
      </c>
      <c r="C189" s="3997" t="s">
        <v>1301</v>
      </c>
      <c r="D189" s="3998"/>
      <c r="E189" s="3999"/>
      <c r="F189" s="514"/>
      <c r="G189" s="3964"/>
      <c r="H189" s="3968"/>
      <c r="I189" s="3969"/>
      <c r="J189" s="3970"/>
      <c r="K189" s="3971"/>
      <c r="L189" s="3981"/>
      <c r="M189" s="530"/>
      <c r="N189" s="3947" t="s">
        <v>1302</v>
      </c>
      <c r="O189" s="3898"/>
      <c r="P189" s="3793">
        <v>12.7</v>
      </c>
      <c r="Q189" s="3792">
        <f t="shared" si="1"/>
        <v>10.025379999999998</v>
      </c>
      <c r="R189" s="492"/>
      <c r="S189" s="492"/>
      <c r="T189" s="1162"/>
    </row>
    <row r="190" spans="1:20" ht="15" customHeight="1">
      <c r="A190" s="1428"/>
      <c r="B190" s="1453" t="s">
        <v>1303</v>
      </c>
      <c r="C190" s="3982" t="s">
        <v>1304</v>
      </c>
      <c r="D190" s="3983"/>
      <c r="E190" s="3984"/>
      <c r="F190" s="514"/>
      <c r="G190" s="1454" t="s">
        <v>1305</v>
      </c>
      <c r="H190" s="3985" t="s">
        <v>1306</v>
      </c>
      <c r="I190" s="3986"/>
      <c r="J190" s="3987"/>
      <c r="K190" s="1454" t="s">
        <v>1305</v>
      </c>
      <c r="L190" s="3981"/>
      <c r="M190" s="530"/>
      <c r="N190" s="3947" t="s">
        <v>876</v>
      </c>
      <c r="O190" s="3898"/>
      <c r="P190" s="3793">
        <v>10</v>
      </c>
      <c r="Q190" s="3792">
        <f t="shared" si="1"/>
        <v>7.8940000000000001</v>
      </c>
      <c r="R190" s="492"/>
      <c r="S190" s="492"/>
      <c r="T190" s="1162"/>
    </row>
    <row r="191" spans="1:20" ht="15" customHeight="1">
      <c r="A191" s="1428"/>
      <c r="B191" s="1455" t="s">
        <v>1307</v>
      </c>
      <c r="C191" s="3988" t="s">
        <v>1308</v>
      </c>
      <c r="D191" s="3989"/>
      <c r="E191" s="3990"/>
      <c r="F191" s="530"/>
      <c r="G191" s="1456" t="s">
        <v>1309</v>
      </c>
      <c r="H191" s="3991" t="s">
        <v>1310</v>
      </c>
      <c r="I191" s="3992"/>
      <c r="J191" s="3993"/>
      <c r="K191" s="1454" t="s">
        <v>1311</v>
      </c>
      <c r="L191" s="3981"/>
      <c r="M191" s="530"/>
      <c r="N191" s="3950" t="s">
        <v>1312</v>
      </c>
      <c r="O191" s="3898"/>
      <c r="P191" s="3794">
        <v>17.7</v>
      </c>
      <c r="Q191" s="3792">
        <f t="shared" si="1"/>
        <v>13.972379999999999</v>
      </c>
      <c r="R191" s="492"/>
      <c r="S191" s="492"/>
      <c r="T191" s="1162"/>
    </row>
    <row r="192" spans="1:20" ht="15" customHeight="1">
      <c r="A192" s="1428"/>
      <c r="B192" s="3932" t="s">
        <v>1313</v>
      </c>
      <c r="C192" s="3932"/>
      <c r="D192" s="3932"/>
      <c r="E192" s="3932"/>
      <c r="F192" s="1435"/>
      <c r="G192" s="1457" t="s">
        <v>1314</v>
      </c>
      <c r="H192" s="3933" t="s">
        <v>1315</v>
      </c>
      <c r="I192" s="3934"/>
      <c r="J192" s="3935"/>
      <c r="K192" s="1457" t="s">
        <v>1316</v>
      </c>
      <c r="L192" s="3981"/>
      <c r="M192" s="492"/>
      <c r="N192" s="3896" t="s">
        <v>1867</v>
      </c>
      <c r="O192" s="3897"/>
      <c r="P192" s="3794">
        <v>0</v>
      </c>
      <c r="Q192" s="3792">
        <f t="shared" si="1"/>
        <v>0</v>
      </c>
      <c r="R192" s="492"/>
      <c r="S192" s="492"/>
      <c r="T192" s="1162"/>
    </row>
    <row r="193" spans="1:20" ht="15" customHeight="1">
      <c r="A193" s="492"/>
      <c r="B193" s="3483"/>
      <c r="C193" s="3483"/>
      <c r="D193" s="3483"/>
      <c r="E193" s="3483"/>
      <c r="F193" s="1458"/>
      <c r="G193" s="1457" t="s">
        <v>1318</v>
      </c>
      <c r="H193" s="3933" t="s">
        <v>1319</v>
      </c>
      <c r="I193" s="3934"/>
      <c r="J193" s="3935"/>
      <c r="K193" s="1457" t="s">
        <v>1320</v>
      </c>
      <c r="L193" s="3981"/>
      <c r="M193" s="492"/>
      <c r="N193" s="3896" t="s">
        <v>1866</v>
      </c>
      <c r="O193" s="3897"/>
      <c r="P193" s="3794">
        <v>0</v>
      </c>
      <c r="Q193" s="3792">
        <f t="shared" si="1"/>
        <v>0</v>
      </c>
      <c r="R193" s="492"/>
      <c r="S193" s="492"/>
      <c r="T193" s="1162"/>
    </row>
    <row r="194" spans="1:20" ht="15" customHeight="1">
      <c r="A194" s="492"/>
      <c r="B194" s="1459" t="s">
        <v>1321</v>
      </c>
      <c r="C194" s="3483"/>
      <c r="D194" s="3483"/>
      <c r="E194" s="3483"/>
      <c r="F194" s="3483"/>
      <c r="G194" s="1460" t="s">
        <v>1322</v>
      </c>
      <c r="H194" s="3957" t="s">
        <v>1304</v>
      </c>
      <c r="I194" s="3958"/>
      <c r="J194" s="3959"/>
      <c r="K194" s="1461" t="s">
        <v>1323</v>
      </c>
      <c r="L194" s="3981"/>
      <c r="M194" s="492"/>
      <c r="N194" s="3896" t="s">
        <v>1865</v>
      </c>
      <c r="O194" s="3897"/>
      <c r="P194" s="3794">
        <v>0</v>
      </c>
      <c r="Q194" s="3792">
        <f t="shared" si="1"/>
        <v>0</v>
      </c>
      <c r="R194" s="492"/>
      <c r="S194" s="492"/>
      <c r="T194" s="1162"/>
    </row>
    <row r="195" spans="1:20" ht="15" customHeight="1">
      <c r="A195" s="492"/>
      <c r="B195" s="3938" t="s">
        <v>1326</v>
      </c>
      <c r="C195" s="3938"/>
      <c r="D195" s="3938"/>
      <c r="E195" s="3938"/>
      <c r="F195" s="3483"/>
      <c r="G195" s="1462" t="s">
        <v>1327</v>
      </c>
      <c r="H195" s="3939" t="s">
        <v>1328</v>
      </c>
      <c r="I195" s="3940"/>
      <c r="J195" s="3941"/>
      <c r="K195" s="1462" t="s">
        <v>1329</v>
      </c>
      <c r="L195" s="3981"/>
      <c r="M195" s="492"/>
      <c r="N195" s="3896" t="s">
        <v>1864</v>
      </c>
      <c r="O195" s="3897"/>
      <c r="P195" s="3794">
        <v>0</v>
      </c>
      <c r="Q195" s="3792">
        <f t="shared" si="1"/>
        <v>0</v>
      </c>
      <c r="R195" s="492"/>
      <c r="S195" s="492"/>
      <c r="T195" s="1162"/>
    </row>
    <row r="196" spans="1:20" ht="15" customHeight="1">
      <c r="A196" s="492"/>
      <c r="B196" s="3938"/>
      <c r="C196" s="3938"/>
      <c r="D196" s="3938"/>
      <c r="E196" s="3938"/>
      <c r="F196" s="3483"/>
      <c r="G196" s="1464" t="s">
        <v>1331</v>
      </c>
      <c r="H196" s="3942" t="s">
        <v>1332</v>
      </c>
      <c r="I196" s="3943"/>
      <c r="J196" s="3944"/>
      <c r="K196" s="1464" t="s">
        <v>1333</v>
      </c>
      <c r="L196" s="3981"/>
      <c r="M196" s="530"/>
      <c r="N196" s="3896" t="s">
        <v>1317</v>
      </c>
      <c r="O196" s="3898"/>
      <c r="P196" s="3794">
        <v>0</v>
      </c>
      <c r="Q196" s="3792">
        <f t="shared" si="1"/>
        <v>0</v>
      </c>
      <c r="R196" s="530"/>
      <c r="S196" s="530"/>
      <c r="T196" s="1162"/>
    </row>
    <row r="197" spans="1:20" ht="15" customHeight="1">
      <c r="A197" s="492"/>
      <c r="B197" s="3489"/>
      <c r="C197" s="3489"/>
      <c r="D197" s="3489"/>
      <c r="E197" s="3489"/>
      <c r="F197" s="3489"/>
      <c r="G197" s="3489"/>
      <c r="H197" s="3489"/>
      <c r="I197" s="3489"/>
      <c r="J197" s="3489"/>
      <c r="K197" s="3489"/>
      <c r="L197" s="3489"/>
      <c r="M197" s="530"/>
      <c r="N197" s="3955" t="s">
        <v>289</v>
      </c>
      <c r="O197" s="3956"/>
      <c r="P197" s="3795">
        <v>0</v>
      </c>
      <c r="Q197" s="3796">
        <f t="shared" si="1"/>
        <v>0</v>
      </c>
      <c r="R197" s="530"/>
      <c r="S197" s="530"/>
      <c r="T197" s="1162"/>
    </row>
    <row r="198" spans="1:20" ht="15" customHeight="1">
      <c r="A198" s="492"/>
      <c r="B198" s="3485" t="s">
        <v>1334</v>
      </c>
      <c r="C198" s="1465" t="s">
        <v>1282</v>
      </c>
      <c r="D198" s="1466" t="s">
        <v>1335</v>
      </c>
      <c r="E198" s="1466" t="s">
        <v>1336</v>
      </c>
      <c r="F198" s="1467" t="s">
        <v>1115</v>
      </c>
      <c r="G198" s="1468" t="s">
        <v>1283</v>
      </c>
      <c r="H198" s="1469" t="s">
        <v>1337</v>
      </c>
      <c r="I198" s="1466" t="s">
        <v>1338</v>
      </c>
      <c r="J198" s="1470" t="s">
        <v>1282</v>
      </c>
      <c r="K198" s="530"/>
      <c r="L198" s="530"/>
      <c r="M198" s="1162"/>
      <c r="N198" s="3960" t="s">
        <v>1324</v>
      </c>
      <c r="O198" s="3937"/>
      <c r="P198" s="3936" t="s">
        <v>1325</v>
      </c>
      <c r="Q198" s="3937"/>
      <c r="R198" s="530"/>
      <c r="S198" s="530"/>
      <c r="T198" s="1162"/>
    </row>
    <row r="199" spans="1:20" ht="15" customHeight="1">
      <c r="A199" s="492"/>
      <c r="B199" s="1162"/>
      <c r="C199" s="1747">
        <v>176</v>
      </c>
      <c r="D199" s="1466">
        <f>FIXED(C199*39.37,-1)/100</f>
        <v>69.3</v>
      </c>
      <c r="E199" s="1607" t="str">
        <f>INT(C199*39.37/1200)&amp;" ft  "&amp;FIXED(MOD(C199*39.37,1200)/100,1)&amp;"'"</f>
        <v>5 ft  9.3'</v>
      </c>
      <c r="F199" s="1162"/>
      <c r="G199" s="1719">
        <v>5</v>
      </c>
      <c r="H199" s="1754">
        <v>9.5</v>
      </c>
      <c r="I199" s="1466" t="str">
        <f>(G199*12+H199)&amp;"'"</f>
        <v>69.5'</v>
      </c>
      <c r="J199" s="1375">
        <f>(G199*12+H199)*2.54</f>
        <v>176.53</v>
      </c>
      <c r="K199" s="530"/>
      <c r="L199" s="530"/>
      <c r="M199" s="1162"/>
      <c r="N199" s="3961"/>
      <c r="O199" s="3962"/>
      <c r="P199" s="1748">
        <v>789.4</v>
      </c>
      <c r="Q199" s="1463" t="s">
        <v>1330</v>
      </c>
      <c r="R199" s="530"/>
      <c r="S199" s="530"/>
      <c r="T199" s="1162"/>
    </row>
    <row r="200" spans="1:20" ht="15" customHeight="1">
      <c r="A200" s="492"/>
      <c r="B200" s="1162"/>
      <c r="C200" s="1162"/>
      <c r="D200" s="1162"/>
      <c r="E200" s="1162"/>
      <c r="F200" s="1162"/>
      <c r="G200" s="1162"/>
      <c r="H200" s="1162"/>
      <c r="I200" s="1162"/>
      <c r="J200" s="1162"/>
      <c r="K200" s="530"/>
      <c r="L200" s="530"/>
      <c r="M200" s="1162"/>
      <c r="N200" s="530"/>
      <c r="O200" s="530"/>
      <c r="P200" s="530"/>
      <c r="Q200" s="530"/>
      <c r="R200" s="530"/>
      <c r="S200" s="530"/>
      <c r="T200" s="1162"/>
    </row>
    <row r="201" spans="1:20" ht="15" customHeight="1">
      <c r="A201" s="492"/>
      <c r="B201" s="1162"/>
      <c r="C201" s="1162"/>
      <c r="D201" s="1162"/>
      <c r="E201" s="1162"/>
      <c r="F201" s="1162"/>
      <c r="G201" s="1162"/>
      <c r="H201" s="1162"/>
      <c r="I201" s="1162"/>
      <c r="J201" s="1162"/>
      <c r="K201" s="530"/>
      <c r="L201" s="530"/>
      <c r="M201" s="1162"/>
      <c r="N201" s="530"/>
      <c r="O201" s="514"/>
      <c r="P201" s="530"/>
      <c r="Q201" s="530"/>
      <c r="R201" s="530"/>
      <c r="S201" s="530"/>
      <c r="T201" s="1162"/>
    </row>
    <row r="202" spans="1:20" ht="15" customHeight="1">
      <c r="A202" s="524"/>
      <c r="B202" s="3482" t="s">
        <v>1037</v>
      </c>
      <c r="C202" s="3482"/>
      <c r="D202" s="1471"/>
      <c r="E202" s="1471"/>
      <c r="F202" s="1471"/>
      <c r="G202" s="530"/>
      <c r="H202" s="530"/>
      <c r="I202" s="1162"/>
      <c r="J202" s="1162"/>
      <c r="K202" s="1162"/>
      <c r="L202" s="530"/>
      <c r="M202" s="3929"/>
      <c r="N202" s="564"/>
      <c r="O202" s="514"/>
      <c r="P202" s="530"/>
      <c r="Q202" s="530"/>
      <c r="R202" s="530"/>
      <c r="S202" s="530"/>
      <c r="T202" s="1162"/>
    </row>
    <row r="203" spans="1:20" ht="15" customHeight="1">
      <c r="A203" s="530"/>
      <c r="B203" s="530"/>
      <c r="C203" s="1604" t="s">
        <v>661</v>
      </c>
      <c r="D203" s="3930" t="s">
        <v>1339</v>
      </c>
      <c r="E203" s="3931"/>
      <c r="F203" s="1346"/>
      <c r="G203" s="1346"/>
      <c r="H203" s="1346"/>
      <c r="I203" s="1684"/>
      <c r="J203" s="1684"/>
      <c r="K203" s="1162"/>
      <c r="L203" s="1346"/>
      <c r="M203" s="3929"/>
      <c r="N203" s="1472"/>
      <c r="O203" s="514"/>
      <c r="P203" s="530"/>
      <c r="Q203" s="530"/>
      <c r="R203" s="530"/>
      <c r="S203" s="530"/>
      <c r="T203" s="1162"/>
    </row>
    <row r="204" spans="1:20" ht="15" customHeight="1">
      <c r="A204" s="530"/>
      <c r="B204" s="530"/>
      <c r="C204" s="1719">
        <v>3.8</v>
      </c>
      <c r="D204" s="3919" t="str">
        <f>FIXED((-0.00074*(2*C204)^2.1-0.182*C204*2),1)&amp;" °C ("&amp;FIXED(((((-0.00074*(2*C204)^2.1-0.182*C204*2)+40)*9/5)-40),0)&amp;"°F)"</f>
        <v>-1.4 °C (29°F)</v>
      </c>
      <c r="E204" s="3920"/>
      <c r="F204" s="3921" t="s">
        <v>1340</v>
      </c>
      <c r="G204" s="3922"/>
      <c r="H204" s="3922"/>
      <c r="I204" s="3922"/>
      <c r="J204" s="1473"/>
      <c r="K204" s="530"/>
      <c r="L204" s="530"/>
      <c r="M204" s="1162"/>
      <c r="N204" s="1474"/>
      <c r="O204" s="514"/>
      <c r="P204" s="530"/>
      <c r="Q204" s="530"/>
      <c r="R204" s="530"/>
      <c r="S204" s="530"/>
      <c r="T204" s="1162"/>
    </row>
    <row r="205" spans="1:20" ht="15" customHeight="1">
      <c r="A205" s="530"/>
      <c r="B205" s="530"/>
      <c r="C205" s="1143"/>
      <c r="D205" s="1143"/>
      <c r="E205" s="1143"/>
      <c r="F205" s="1143"/>
      <c r="G205" s="1143"/>
      <c r="H205" s="1143"/>
      <c r="I205" s="1143"/>
      <c r="J205" s="1143"/>
      <c r="K205" s="1143"/>
      <c r="L205" s="1143"/>
      <c r="M205" s="1143"/>
      <c r="N205" s="1143"/>
      <c r="O205" s="1143"/>
      <c r="P205" s="1143"/>
      <c r="Q205" s="1143"/>
      <c r="R205" s="1143"/>
      <c r="S205" s="1143"/>
      <c r="T205" s="1162"/>
    </row>
    <row r="206" spans="1:20" ht="15" customHeight="1">
      <c r="A206" s="492"/>
      <c r="B206" s="492"/>
      <c r="C206" s="447"/>
      <c r="D206" s="447"/>
      <c r="E206" s="447"/>
      <c r="F206" s="447"/>
      <c r="G206" s="447"/>
      <c r="H206" s="447"/>
      <c r="I206" s="447"/>
      <c r="J206" s="447"/>
      <c r="K206" s="447"/>
      <c r="L206" s="447"/>
      <c r="M206" s="447"/>
      <c r="N206" s="447"/>
      <c r="O206" s="447"/>
      <c r="P206" s="447"/>
      <c r="Q206" s="447"/>
      <c r="R206" s="447"/>
      <c r="S206" s="447"/>
      <c r="T206" s="1162"/>
    </row>
    <row r="207" spans="1:20" ht="15.75" customHeight="1">
      <c r="A207" s="3923" t="s">
        <v>1341</v>
      </c>
      <c r="B207" s="3923"/>
      <c r="C207" s="3923"/>
      <c r="D207" s="3923"/>
      <c r="E207" s="3924" t="s">
        <v>1342</v>
      </c>
      <c r="F207" s="3924"/>
      <c r="G207" s="564"/>
      <c r="H207" s="1475"/>
      <c r="I207" s="1475"/>
      <c r="J207" s="1475"/>
      <c r="K207" s="1475"/>
      <c r="L207" s="1426"/>
      <c r="M207" s="530"/>
      <c r="N207" s="1162"/>
      <c r="O207" s="1162"/>
      <c r="P207" s="1162"/>
      <c r="Q207" s="1162"/>
      <c r="R207" s="1162"/>
      <c r="S207" s="1162"/>
      <c r="T207" s="1162"/>
    </row>
    <row r="208" spans="1:20" ht="15" customHeight="1">
      <c r="A208" s="514"/>
      <c r="B208" s="3925" t="s">
        <v>978</v>
      </c>
      <c r="C208" s="3926"/>
      <c r="D208" s="1476" t="s">
        <v>1850</v>
      </c>
      <c r="E208" s="1477"/>
      <c r="F208" s="1477"/>
      <c r="G208" s="1477"/>
      <c r="H208" s="1477"/>
      <c r="I208" s="1477"/>
      <c r="J208" s="1477"/>
      <c r="K208" s="1477"/>
      <c r="L208" s="1396"/>
      <c r="M208" s="530"/>
      <c r="N208" s="1162"/>
      <c r="O208" s="1162"/>
      <c r="P208" s="1162"/>
      <c r="Q208" s="1162"/>
      <c r="R208" s="1162"/>
      <c r="S208" s="1162"/>
      <c r="T208" s="1162"/>
    </row>
    <row r="209" spans="1:20" ht="15" customHeight="1">
      <c r="A209" s="514"/>
      <c r="B209" s="3927" t="s">
        <v>1343</v>
      </c>
      <c r="C209" s="3928"/>
      <c r="D209" s="3797" t="s">
        <v>1344</v>
      </c>
      <c r="E209" s="1435"/>
      <c r="F209" s="1435"/>
      <c r="G209" s="1435"/>
      <c r="H209" s="1396"/>
      <c r="I209" s="1426"/>
      <c r="J209" s="1426"/>
      <c r="K209" s="3595"/>
      <c r="L209" s="1396"/>
      <c r="M209" s="530"/>
      <c r="N209" s="514"/>
      <c r="O209" s="514"/>
      <c r="P209" s="514"/>
      <c r="Q209" s="514"/>
      <c r="R209" s="514"/>
      <c r="S209" s="514"/>
      <c r="T209" s="1162"/>
    </row>
    <row r="210" spans="1:20" ht="15" customHeight="1">
      <c r="A210" s="492"/>
      <c r="B210" s="3917" t="s">
        <v>1345</v>
      </c>
      <c r="C210" s="3918"/>
      <c r="D210" s="3798" t="s">
        <v>1346</v>
      </c>
      <c r="E210" s="1435"/>
      <c r="F210" s="492"/>
      <c r="G210" s="492"/>
      <c r="H210" s="492"/>
      <c r="I210" s="613">
        <f>D184*12+E184</f>
        <v>69</v>
      </c>
      <c r="J210" s="3596" t="s">
        <v>1347</v>
      </c>
      <c r="K210" s="3597">
        <f>2.54*I210</f>
        <v>175.26</v>
      </c>
      <c r="L210" s="3591"/>
      <c r="M210" s="530"/>
      <c r="N210" s="514"/>
      <c r="O210" s="514"/>
      <c r="P210" s="514"/>
      <c r="Q210" s="514"/>
      <c r="R210" s="514"/>
      <c r="S210" s="514"/>
      <c r="T210" s="1162"/>
    </row>
    <row r="211" spans="1:20" ht="15" customHeight="1">
      <c r="A211" s="492"/>
      <c r="B211" s="3917" t="s">
        <v>1348</v>
      </c>
      <c r="C211" s="3918"/>
      <c r="D211" s="3798">
        <v>9</v>
      </c>
      <c r="E211" s="1435"/>
      <c r="F211" s="492"/>
      <c r="G211" s="492"/>
      <c r="H211" s="492"/>
      <c r="I211" s="613">
        <f>14*D186+E186</f>
        <v>161</v>
      </c>
      <c r="J211" s="3596" t="s">
        <v>1349</v>
      </c>
      <c r="K211" s="3597">
        <f>0.454*I211*10000</f>
        <v>730940.00000000012</v>
      </c>
      <c r="L211" s="3591"/>
      <c r="M211" s="530"/>
      <c r="N211" s="514"/>
      <c r="O211" s="514"/>
      <c r="P211" s="514"/>
      <c r="Q211" s="514"/>
      <c r="R211" s="514"/>
      <c r="S211" s="514"/>
      <c r="T211" s="1162"/>
    </row>
    <row r="212" spans="1:20" ht="15" customHeight="1">
      <c r="A212" s="492"/>
      <c r="B212" s="3917" t="s">
        <v>1350</v>
      </c>
      <c r="C212" s="3918"/>
      <c r="D212" s="3798" t="s">
        <v>1351</v>
      </c>
      <c r="E212" s="1435"/>
      <c r="F212" s="492"/>
      <c r="G212" s="492"/>
      <c r="H212" s="492"/>
      <c r="I212" s="2579"/>
      <c r="J212" s="2579"/>
      <c r="K212" s="2579"/>
      <c r="L212" s="3591"/>
      <c r="M212" s="530"/>
      <c r="N212" s="514"/>
      <c r="O212" s="514"/>
      <c r="P212" s="514"/>
      <c r="Q212" s="514"/>
      <c r="R212" s="514"/>
      <c r="S212" s="514"/>
      <c r="T212" s="1162"/>
    </row>
    <row r="213" spans="1:20" ht="15" customHeight="1">
      <c r="A213" s="492"/>
      <c r="B213" s="3917" t="s">
        <v>1352</v>
      </c>
      <c r="C213" s="3918"/>
      <c r="D213" s="3798" t="s">
        <v>1353</v>
      </c>
      <c r="E213" s="1435"/>
      <c r="F213" s="492"/>
      <c r="G213" s="492"/>
      <c r="H213" s="492"/>
      <c r="I213" s="3592"/>
      <c r="J213" s="3592"/>
      <c r="K213" s="3592"/>
      <c r="L213" s="3591"/>
      <c r="M213" s="530"/>
      <c r="N213" s="514"/>
      <c r="O213" s="514"/>
      <c r="P213" s="514"/>
      <c r="Q213" s="514"/>
      <c r="R213" s="514"/>
      <c r="S213" s="514"/>
      <c r="T213" s="1162"/>
    </row>
    <row r="214" spans="1:20" ht="15" customHeight="1">
      <c r="A214" s="492"/>
      <c r="B214" s="3917" t="s">
        <v>1354</v>
      </c>
      <c r="C214" s="3918"/>
      <c r="D214" s="3798" t="s">
        <v>1355</v>
      </c>
      <c r="E214" s="1435"/>
      <c r="F214" s="492"/>
      <c r="G214" s="492"/>
      <c r="H214" s="530"/>
      <c r="I214" s="1478"/>
      <c r="J214" s="1478"/>
      <c r="K214" s="1478"/>
      <c r="L214" s="3598"/>
      <c r="M214" s="530"/>
      <c r="N214" s="514"/>
      <c r="O214" s="514"/>
      <c r="P214" s="514"/>
      <c r="Q214" s="514"/>
      <c r="R214" s="514"/>
      <c r="S214" s="514"/>
      <c r="T214" s="1162"/>
    </row>
    <row r="215" spans="1:20" ht="15" customHeight="1">
      <c r="A215" s="492"/>
      <c r="B215" s="3917" t="s">
        <v>1356</v>
      </c>
      <c r="C215" s="3918"/>
      <c r="D215" s="3798">
        <v>10</v>
      </c>
      <c r="E215" s="1435"/>
      <c r="F215" s="492"/>
      <c r="G215" s="492"/>
      <c r="H215" s="530"/>
      <c r="I215" s="3599">
        <f>C81*P199/1000</f>
        <v>31.576000000000001</v>
      </c>
      <c r="J215" s="3600">
        <f>I215+(100-C81)</f>
        <v>91.575999999999993</v>
      </c>
      <c r="K215" s="3600">
        <f>(E81)/(C81)</f>
        <v>0.862016248798812</v>
      </c>
      <c r="L215" s="3598"/>
      <c r="M215" s="530"/>
      <c r="N215" s="514"/>
      <c r="O215" s="514"/>
      <c r="P215" s="514"/>
      <c r="Q215" s="514"/>
      <c r="R215" s="514"/>
      <c r="S215" s="514"/>
      <c r="T215" s="1162"/>
    </row>
    <row r="216" spans="1:20" ht="15" customHeight="1">
      <c r="A216" s="492"/>
      <c r="B216" s="3917" t="s">
        <v>1357</v>
      </c>
      <c r="C216" s="3918"/>
      <c r="D216" s="3798" t="s">
        <v>1353</v>
      </c>
      <c r="E216" s="1435"/>
      <c r="F216" s="492"/>
      <c r="G216" s="492"/>
      <c r="H216" s="530"/>
      <c r="I216" s="3600">
        <f>H81*P199/1000</f>
        <v>31.576000000000001</v>
      </c>
      <c r="J216" s="3600">
        <f>I216+(100-H81)</f>
        <v>91.575999999999993</v>
      </c>
      <c r="K216" s="3600">
        <f>(J81)/(H81)</f>
        <v>0.862016248798812</v>
      </c>
      <c r="L216" s="3598"/>
      <c r="M216" s="530"/>
      <c r="N216" s="514"/>
      <c r="O216" s="514"/>
      <c r="P216" s="514"/>
      <c r="Q216" s="514"/>
      <c r="R216" s="514"/>
      <c r="S216" s="514"/>
      <c r="T216" s="1162"/>
    </row>
    <row r="217" spans="1:20" ht="15" customHeight="1">
      <c r="A217" s="492"/>
      <c r="B217" s="3917" t="s">
        <v>1358</v>
      </c>
      <c r="C217" s="3918"/>
      <c r="D217" s="3798" t="s">
        <v>1344</v>
      </c>
      <c r="E217" s="1435"/>
      <c r="F217" s="492"/>
      <c r="G217" s="492"/>
      <c r="H217" s="530"/>
      <c r="I217" s="3601"/>
      <c r="J217" s="3601"/>
      <c r="K217" s="3601"/>
      <c r="L217" s="3598"/>
      <c r="M217" s="530"/>
      <c r="N217" s="514"/>
      <c r="O217" s="514"/>
      <c r="P217" s="514"/>
      <c r="Q217" s="514"/>
      <c r="R217" s="514"/>
      <c r="S217" s="514"/>
      <c r="T217" s="1162"/>
    </row>
    <row r="218" spans="1:20" ht="15" customHeight="1">
      <c r="A218" s="492"/>
      <c r="B218" s="3917" t="s">
        <v>1359</v>
      </c>
      <c r="C218" s="3918"/>
      <c r="D218" s="3798">
        <v>9</v>
      </c>
      <c r="E218" s="1435"/>
      <c r="F218" s="492"/>
      <c r="G218" s="492"/>
      <c r="H218" s="530"/>
      <c r="I218" s="3600">
        <f>C84*P199/1000</f>
        <v>55.258000000000003</v>
      </c>
      <c r="J218" s="3600">
        <f>I218+(100-C84)</f>
        <v>85.25800000000001</v>
      </c>
      <c r="K218" s="3600">
        <f>(D84)/(C84)</f>
        <v>0.92589551713622176</v>
      </c>
      <c r="L218" s="3598"/>
      <c r="M218" s="530"/>
      <c r="N218" s="1162"/>
      <c r="O218" s="1162"/>
      <c r="P218" s="1162"/>
      <c r="Q218" s="1162"/>
      <c r="R218" s="1162"/>
      <c r="S218" s="1162"/>
      <c r="T218" s="1162"/>
    </row>
    <row r="219" spans="1:20" ht="15" customHeight="1">
      <c r="A219" s="492"/>
      <c r="B219" s="3917" t="s">
        <v>1360</v>
      </c>
      <c r="C219" s="3918"/>
      <c r="D219" s="3798" t="s">
        <v>1353</v>
      </c>
      <c r="E219" s="1435"/>
      <c r="F219" s="492"/>
      <c r="G219" s="492"/>
      <c r="H219" s="530"/>
      <c r="I219" s="3601"/>
      <c r="J219" s="3601"/>
      <c r="K219" s="3601"/>
      <c r="L219" s="3598"/>
      <c r="M219" s="530"/>
      <c r="N219" s="1162"/>
      <c r="O219" s="1162"/>
      <c r="P219" s="1162"/>
      <c r="Q219" s="1162"/>
      <c r="R219" s="1162"/>
      <c r="S219" s="1162"/>
      <c r="T219" s="1162"/>
    </row>
    <row r="220" spans="1:20" ht="15" customHeight="1">
      <c r="A220" s="492"/>
      <c r="B220" s="3917" t="s">
        <v>1361</v>
      </c>
      <c r="C220" s="3918"/>
      <c r="D220" s="3798" t="s">
        <v>1362</v>
      </c>
      <c r="E220" s="1435"/>
      <c r="F220" s="492"/>
      <c r="G220" s="492"/>
      <c r="H220" s="530"/>
      <c r="I220" s="3600">
        <f>J84*P199/1000</f>
        <v>4.4206399999999997</v>
      </c>
      <c r="J220" s="3600">
        <f>I220+(100-J84)</f>
        <v>98.820640000000012</v>
      </c>
      <c r="K220" s="3600">
        <f>K221/(J84+0.00000001)</f>
        <v>0.79882097362489968</v>
      </c>
      <c r="L220" s="3598"/>
      <c r="M220" s="530"/>
      <c r="N220" s="1162"/>
      <c r="O220" s="1162"/>
      <c r="P220" s="1162"/>
      <c r="Q220" s="1162"/>
      <c r="R220" s="1162"/>
      <c r="S220" s="1162"/>
      <c r="T220" s="1162"/>
    </row>
    <row r="221" spans="1:20" ht="15" customHeight="1">
      <c r="A221" s="492"/>
      <c r="B221" s="3917" t="s">
        <v>1363</v>
      </c>
      <c r="C221" s="3918"/>
      <c r="D221" s="3798">
        <v>9</v>
      </c>
      <c r="E221" s="1435"/>
      <c r="F221" s="492"/>
      <c r="G221" s="492"/>
      <c r="H221" s="530"/>
      <c r="I221" s="3600">
        <f>K84*P199/1000</f>
        <v>5.5339557806055168</v>
      </c>
      <c r="J221" s="3600">
        <f>I221+(100-J84)</f>
        <v>99.933955780605515</v>
      </c>
      <c r="K221" s="3603">
        <f>100*I220/J220</f>
        <v>4.4733974602876474</v>
      </c>
      <c r="L221" s="3598"/>
      <c r="M221" s="530"/>
      <c r="N221" s="514"/>
      <c r="O221" s="514"/>
      <c r="P221" s="514"/>
      <c r="Q221" s="514"/>
      <c r="R221" s="514"/>
      <c r="S221" s="514"/>
      <c r="T221" s="1162"/>
    </row>
    <row r="222" spans="1:20" ht="15" customHeight="1">
      <c r="A222" s="492"/>
      <c r="B222" s="3917" t="s">
        <v>1364</v>
      </c>
      <c r="C222" s="3918"/>
      <c r="D222" s="3798" t="s">
        <v>1365</v>
      </c>
      <c r="E222" s="1435"/>
      <c r="F222" s="492"/>
      <c r="G222" s="492"/>
      <c r="H222" s="530"/>
      <c r="I222" s="1478"/>
      <c r="J222" s="1478"/>
      <c r="K222" s="3602"/>
      <c r="L222" s="3598"/>
      <c r="M222" s="530"/>
      <c r="N222" s="514"/>
      <c r="O222" s="514"/>
      <c r="P222" s="514"/>
      <c r="Q222" s="514"/>
      <c r="R222" s="514"/>
      <c r="S222" s="514"/>
      <c r="T222" s="1162"/>
    </row>
    <row r="223" spans="1:20" ht="15" customHeight="1">
      <c r="A223" s="492"/>
      <c r="B223" s="3917" t="s">
        <v>1366</v>
      </c>
      <c r="C223" s="3918"/>
      <c r="D223" s="3798" t="s">
        <v>1367</v>
      </c>
      <c r="E223" s="1435"/>
      <c r="F223" s="492"/>
      <c r="G223" s="492"/>
      <c r="H223" s="492"/>
      <c r="I223" s="3592"/>
      <c r="J223" s="3592"/>
      <c r="K223" s="3593"/>
      <c r="L223" s="3591"/>
      <c r="M223" s="530"/>
      <c r="N223" s="1162"/>
      <c r="O223" s="1162"/>
      <c r="P223" s="1162"/>
      <c r="Q223" s="1162"/>
      <c r="R223" s="1162"/>
      <c r="S223" s="1162"/>
      <c r="T223" s="1162"/>
    </row>
    <row r="224" spans="1:20" ht="15" customHeight="1">
      <c r="A224" s="492"/>
      <c r="B224" s="3917" t="s">
        <v>872</v>
      </c>
      <c r="C224" s="3918"/>
      <c r="D224" s="3798" t="s">
        <v>1351</v>
      </c>
      <c r="E224" s="492"/>
      <c r="F224" s="492"/>
      <c r="G224" s="492"/>
      <c r="H224" s="492"/>
      <c r="I224" s="3592"/>
      <c r="J224" s="3592"/>
      <c r="K224" s="3594">
        <f>G182</f>
        <v>13809.780116434107</v>
      </c>
      <c r="L224" s="3591"/>
      <c r="M224" s="530"/>
      <c r="N224" s="1162"/>
      <c r="O224" s="1162"/>
      <c r="P224" s="1162"/>
      <c r="Q224" s="1162"/>
      <c r="R224" s="1162"/>
      <c r="S224" s="1162"/>
      <c r="T224" s="1162"/>
    </row>
    <row r="225" spans="1:20" ht="15" customHeight="1">
      <c r="A225" s="492"/>
      <c r="B225" s="3917" t="s">
        <v>1368</v>
      </c>
      <c r="C225" s="3918"/>
      <c r="D225" s="3798" t="s">
        <v>1369</v>
      </c>
      <c r="E225" s="492"/>
      <c r="F225" s="492"/>
      <c r="G225" s="492"/>
      <c r="H225" s="492"/>
      <c r="I225" s="3592"/>
      <c r="J225" s="3592"/>
      <c r="K225" s="3593"/>
      <c r="L225" s="3591"/>
      <c r="M225" s="530"/>
      <c r="N225" s="1162"/>
      <c r="O225" s="1162"/>
      <c r="P225" s="1162"/>
      <c r="Q225" s="1162"/>
      <c r="R225" s="1162"/>
      <c r="S225" s="1162"/>
      <c r="T225" s="1162"/>
    </row>
    <row r="226" spans="1:20" ht="15" customHeight="1">
      <c r="A226" s="492"/>
      <c r="B226" s="3917" t="s">
        <v>1370</v>
      </c>
      <c r="C226" s="3918"/>
      <c r="D226" s="3798">
        <v>9</v>
      </c>
      <c r="E226" s="492"/>
      <c r="F226" s="492"/>
      <c r="G226" s="492"/>
      <c r="H226" s="492"/>
      <c r="I226" s="492"/>
      <c r="J226" s="492"/>
      <c r="K226" s="1675"/>
      <c r="L226" s="1396"/>
      <c r="M226" s="530"/>
      <c r="N226" s="1162"/>
      <c r="O226" s="1162"/>
      <c r="P226" s="1162"/>
      <c r="Q226" s="1162"/>
      <c r="R226" s="1162"/>
      <c r="S226" s="1162"/>
      <c r="T226" s="1162"/>
    </row>
    <row r="227" spans="1:20" ht="15" customHeight="1">
      <c r="A227" s="492"/>
      <c r="B227" s="3901" t="s">
        <v>1371</v>
      </c>
      <c r="C227" s="3902"/>
      <c r="D227" s="3798" t="s">
        <v>1365</v>
      </c>
      <c r="E227" s="492"/>
      <c r="F227" s="492"/>
      <c r="G227" s="492"/>
      <c r="H227" s="492"/>
      <c r="I227" s="492"/>
      <c r="J227" s="492"/>
      <c r="K227" s="1675"/>
      <c r="L227" s="1396"/>
      <c r="M227" s="530"/>
      <c r="N227" s="1162"/>
      <c r="O227" s="1162"/>
      <c r="P227" s="1162"/>
      <c r="Q227" s="1162"/>
      <c r="R227" s="1162"/>
      <c r="S227" s="1162"/>
      <c r="T227" s="1162"/>
    </row>
    <row r="228" spans="1:20" ht="15" customHeight="1">
      <c r="A228" s="492"/>
      <c r="B228" s="3901" t="s">
        <v>1372</v>
      </c>
      <c r="C228" s="3902"/>
      <c r="D228" s="3798">
        <v>9</v>
      </c>
      <c r="E228" s="492"/>
      <c r="F228" s="492"/>
      <c r="G228" s="492"/>
      <c r="H228" s="492"/>
      <c r="I228" s="492"/>
      <c r="J228" s="492"/>
      <c r="K228" s="1675"/>
      <c r="L228" s="1396"/>
      <c r="M228" s="530"/>
      <c r="N228" s="1162"/>
      <c r="O228" s="1162"/>
      <c r="P228" s="1162"/>
      <c r="Q228" s="1162"/>
      <c r="R228" s="1162"/>
      <c r="S228" s="1162"/>
      <c r="T228" s="1162"/>
    </row>
    <row r="229" spans="1:20" ht="15" customHeight="1">
      <c r="A229" s="492"/>
      <c r="B229" s="3901" t="s">
        <v>1373</v>
      </c>
      <c r="C229" s="3902"/>
      <c r="D229" s="3798" t="s">
        <v>1374</v>
      </c>
      <c r="E229" s="492"/>
      <c r="F229" s="492"/>
      <c r="G229" s="492"/>
      <c r="H229" s="492"/>
      <c r="I229" s="492"/>
      <c r="J229" s="492"/>
      <c r="K229" s="1675"/>
      <c r="L229" s="1396"/>
      <c r="M229" s="530"/>
      <c r="N229" s="1162"/>
      <c r="O229" s="1162"/>
      <c r="P229" s="1162"/>
      <c r="Q229" s="1162"/>
      <c r="R229" s="1162"/>
      <c r="S229" s="1162"/>
      <c r="T229" s="1162"/>
    </row>
    <row r="230" spans="1:20" ht="15" customHeight="1">
      <c r="A230" s="492"/>
      <c r="B230" s="3901" t="s">
        <v>983</v>
      </c>
      <c r="C230" s="3902"/>
      <c r="D230" s="3798" t="s">
        <v>1365</v>
      </c>
      <c r="E230" s="492"/>
      <c r="F230" s="492"/>
      <c r="G230" s="492"/>
      <c r="H230" s="492"/>
      <c r="I230" s="492"/>
      <c r="J230" s="492"/>
      <c r="K230" s="1675"/>
      <c r="L230" s="1396"/>
      <c r="M230" s="530"/>
      <c r="N230" s="1162"/>
      <c r="O230" s="1162"/>
      <c r="P230" s="1162"/>
      <c r="Q230" s="1162"/>
      <c r="R230" s="1162"/>
      <c r="S230" s="1162"/>
      <c r="T230" s="1162"/>
    </row>
    <row r="231" spans="1:20" ht="15" customHeight="1">
      <c r="A231" s="492"/>
      <c r="B231" s="3901" t="s">
        <v>1375</v>
      </c>
      <c r="C231" s="3902"/>
      <c r="D231" s="3798">
        <v>9</v>
      </c>
      <c r="E231" s="492"/>
      <c r="F231" s="492"/>
      <c r="G231" s="492"/>
      <c r="H231" s="492"/>
      <c r="I231" s="492"/>
      <c r="J231" s="492"/>
      <c r="K231" s="1675"/>
      <c r="L231" s="1396"/>
      <c r="M231" s="530"/>
      <c r="N231" s="514"/>
      <c r="O231" s="514"/>
      <c r="P231" s="514"/>
      <c r="Q231" s="514"/>
      <c r="R231" s="514"/>
      <c r="S231" s="514"/>
      <c r="T231" s="1162"/>
    </row>
    <row r="232" spans="1:20" ht="15" customHeight="1">
      <c r="A232" s="492"/>
      <c r="B232" s="3901" t="s">
        <v>1376</v>
      </c>
      <c r="C232" s="3902"/>
      <c r="D232" s="3798" t="s">
        <v>1374</v>
      </c>
      <c r="E232" s="492"/>
      <c r="F232" s="492"/>
      <c r="G232" s="492"/>
      <c r="H232" s="492"/>
      <c r="I232" s="492"/>
      <c r="J232" s="492"/>
      <c r="K232" s="1675"/>
      <c r="L232" s="1396"/>
      <c r="M232" s="530"/>
      <c r="N232" s="514"/>
      <c r="O232" s="514"/>
      <c r="P232" s="514"/>
      <c r="Q232" s="514"/>
      <c r="R232" s="514"/>
      <c r="S232" s="514"/>
      <c r="T232" s="1162"/>
    </row>
    <row r="233" spans="1:20" ht="15" customHeight="1">
      <c r="A233" s="492"/>
      <c r="B233" s="3901" t="s">
        <v>1377</v>
      </c>
      <c r="C233" s="3902"/>
      <c r="D233" s="3798">
        <v>9</v>
      </c>
      <c r="E233" s="492"/>
      <c r="F233" s="492"/>
      <c r="G233" s="492"/>
      <c r="H233" s="492"/>
      <c r="I233" s="492"/>
      <c r="J233" s="492"/>
      <c r="K233" s="1675"/>
      <c r="L233" s="1396"/>
      <c r="M233" s="530"/>
      <c r="N233" s="514"/>
      <c r="O233" s="514"/>
      <c r="P233" s="514"/>
      <c r="Q233" s="514"/>
      <c r="R233" s="514"/>
      <c r="S233" s="514"/>
      <c r="T233" s="1162"/>
    </row>
    <row r="234" spans="1:20" ht="15" customHeight="1">
      <c r="A234" s="492"/>
      <c r="B234" s="3901" t="s">
        <v>1378</v>
      </c>
      <c r="C234" s="3902"/>
      <c r="D234" s="3798" t="s">
        <v>1353</v>
      </c>
      <c r="E234" s="492"/>
      <c r="F234" s="492"/>
      <c r="G234" s="492"/>
      <c r="H234" s="492"/>
      <c r="I234" s="492"/>
      <c r="J234" s="492"/>
      <c r="K234" s="1675"/>
      <c r="L234" s="1396"/>
      <c r="M234" s="530"/>
      <c r="N234" s="514"/>
      <c r="O234" s="514"/>
      <c r="P234" s="514"/>
      <c r="Q234" s="514"/>
      <c r="R234" s="514"/>
      <c r="S234" s="514"/>
      <c r="T234" s="1162"/>
    </row>
    <row r="235" spans="1:20" ht="15" customHeight="1">
      <c r="A235" s="492"/>
      <c r="B235" s="3901" t="s">
        <v>1379</v>
      </c>
      <c r="C235" s="3902"/>
      <c r="D235" s="3798" t="s">
        <v>1353</v>
      </c>
      <c r="E235" s="492"/>
      <c r="F235" s="492"/>
      <c r="G235" s="492"/>
      <c r="H235" s="492"/>
      <c r="I235" s="492"/>
      <c r="J235" s="492"/>
      <c r="K235" s="1675"/>
      <c r="L235" s="1396"/>
      <c r="M235" s="530"/>
      <c r="N235" s="514"/>
      <c r="O235" s="514"/>
      <c r="P235" s="514"/>
      <c r="Q235" s="514"/>
      <c r="R235" s="514"/>
      <c r="S235" s="514"/>
      <c r="T235" s="1162"/>
    </row>
    <row r="236" spans="1:20" ht="15" customHeight="1">
      <c r="A236" s="492"/>
      <c r="B236" s="3901" t="s">
        <v>1380</v>
      </c>
      <c r="C236" s="3902"/>
      <c r="D236" s="3798" t="s">
        <v>1353</v>
      </c>
      <c r="E236" s="492"/>
      <c r="F236" s="492"/>
      <c r="G236" s="492"/>
      <c r="H236" s="492"/>
      <c r="I236" s="492"/>
      <c r="J236" s="492"/>
      <c r="K236" s="1675"/>
      <c r="L236" s="1396"/>
      <c r="M236" s="530"/>
      <c r="N236" s="514"/>
      <c r="O236" s="514"/>
      <c r="P236" s="514"/>
      <c r="Q236" s="514"/>
      <c r="R236" s="514"/>
      <c r="S236" s="514"/>
      <c r="T236" s="1162"/>
    </row>
    <row r="237" spans="1:20" ht="15" customHeight="1">
      <c r="A237" s="492"/>
      <c r="B237" s="3901" t="s">
        <v>1381</v>
      </c>
      <c r="C237" s="3902"/>
      <c r="D237" s="3798" t="s">
        <v>1353</v>
      </c>
      <c r="E237" s="492"/>
      <c r="F237" s="492"/>
      <c r="G237" s="492"/>
      <c r="H237" s="492"/>
      <c r="I237" s="492"/>
      <c r="J237" s="492"/>
      <c r="K237" s="1675"/>
      <c r="L237" s="1396"/>
      <c r="M237" s="530"/>
      <c r="N237" s="514"/>
      <c r="O237" s="514"/>
      <c r="P237" s="514"/>
      <c r="Q237" s="514"/>
      <c r="R237" s="514"/>
      <c r="S237" s="514"/>
      <c r="T237" s="1162"/>
    </row>
    <row r="238" spans="1:20" ht="15" customHeight="1">
      <c r="A238" s="492"/>
      <c r="B238" s="3901" t="s">
        <v>1382</v>
      </c>
      <c r="C238" s="3902"/>
      <c r="D238" s="3798" t="s">
        <v>1383</v>
      </c>
      <c r="E238" s="492"/>
      <c r="F238" s="492"/>
      <c r="G238" s="492"/>
      <c r="H238" s="492"/>
      <c r="I238" s="492"/>
      <c r="J238" s="492"/>
      <c r="K238" s="1675"/>
      <c r="L238" s="1396"/>
      <c r="M238" s="530"/>
      <c r="N238" s="1162"/>
      <c r="O238" s="1162"/>
      <c r="P238" s="1162"/>
      <c r="Q238" s="1162"/>
      <c r="R238" s="1162"/>
      <c r="S238" s="1162"/>
      <c r="T238" s="1162"/>
    </row>
    <row r="239" spans="1:20" ht="15" customHeight="1">
      <c r="A239" s="492"/>
      <c r="B239" s="3901" t="s">
        <v>1384</v>
      </c>
      <c r="C239" s="3902"/>
      <c r="D239" s="3798" t="s">
        <v>1367</v>
      </c>
      <c r="E239" s="492"/>
      <c r="F239" s="492"/>
      <c r="G239" s="492"/>
      <c r="H239" s="492"/>
      <c r="I239" s="492"/>
      <c r="J239" s="492"/>
      <c r="K239" s="1675"/>
      <c r="L239" s="1396"/>
      <c r="M239" s="530"/>
      <c r="N239" s="1162"/>
      <c r="O239" s="1162"/>
      <c r="P239" s="1162"/>
      <c r="Q239" s="1162"/>
      <c r="R239" s="1162"/>
      <c r="S239" s="1162"/>
      <c r="T239" s="1162"/>
    </row>
    <row r="240" spans="1:20" ht="15" customHeight="1">
      <c r="A240" s="492"/>
      <c r="B240" s="3901" t="s">
        <v>1385</v>
      </c>
      <c r="C240" s="3902"/>
      <c r="D240" s="3798" t="s">
        <v>1362</v>
      </c>
      <c r="E240" s="492"/>
      <c r="F240" s="492"/>
      <c r="G240" s="492"/>
      <c r="H240" s="492"/>
      <c r="I240" s="492"/>
      <c r="J240" s="492"/>
      <c r="K240" s="1675"/>
      <c r="L240" s="1396"/>
      <c r="M240" s="530"/>
      <c r="N240" s="514"/>
      <c r="O240" s="514"/>
      <c r="P240" s="514"/>
      <c r="Q240" s="514"/>
      <c r="R240" s="514"/>
      <c r="S240" s="514"/>
      <c r="T240" s="1162"/>
    </row>
    <row r="241" spans="1:20" ht="15" customHeight="1">
      <c r="A241" s="492"/>
      <c r="B241" s="3901" t="s">
        <v>1386</v>
      </c>
      <c r="C241" s="3902"/>
      <c r="D241" s="3798" t="s">
        <v>1369</v>
      </c>
      <c r="E241" s="492"/>
      <c r="F241" s="492"/>
      <c r="G241" s="492"/>
      <c r="H241" s="492"/>
      <c r="I241" s="492"/>
      <c r="J241" s="492"/>
      <c r="K241" s="1675"/>
      <c r="L241" s="1396"/>
      <c r="M241" s="530"/>
      <c r="N241" s="514"/>
      <c r="O241" s="514"/>
      <c r="P241" s="514"/>
      <c r="Q241" s="514"/>
      <c r="R241" s="514"/>
      <c r="S241" s="514"/>
      <c r="T241" s="1162"/>
    </row>
    <row r="242" spans="1:20" ht="15" customHeight="1">
      <c r="A242" s="492"/>
      <c r="B242" s="3903" t="s">
        <v>1387</v>
      </c>
      <c r="C242" s="3904"/>
      <c r="D242" s="3799" t="s">
        <v>1388</v>
      </c>
      <c r="E242" s="492"/>
      <c r="F242" s="492"/>
      <c r="G242" s="492"/>
      <c r="H242" s="492"/>
      <c r="I242" s="492"/>
      <c r="J242" s="492"/>
      <c r="K242" s="1675"/>
      <c r="L242" s="1396"/>
      <c r="M242" s="530"/>
      <c r="N242" s="514"/>
      <c r="O242" s="514"/>
      <c r="P242" s="514"/>
      <c r="Q242" s="514"/>
      <c r="R242" s="514"/>
      <c r="S242" s="514"/>
      <c r="T242" s="1162"/>
    </row>
    <row r="243" spans="1:20" ht="15" customHeight="1">
      <c r="A243" s="492"/>
      <c r="B243" s="3905" t="s">
        <v>1389</v>
      </c>
      <c r="C243" s="3906"/>
      <c r="D243" s="3907"/>
      <c r="E243" s="1346"/>
      <c r="F243" s="492"/>
      <c r="G243" s="492"/>
      <c r="H243" s="492"/>
      <c r="I243" s="492"/>
      <c r="J243" s="492"/>
      <c r="K243" s="1675"/>
      <c r="L243" s="1396"/>
      <c r="M243" s="530"/>
      <c r="N243" s="1162"/>
      <c r="O243" s="1162"/>
      <c r="P243" s="1162"/>
      <c r="Q243" s="1162"/>
      <c r="R243" s="1162"/>
      <c r="S243" s="1162"/>
      <c r="T243" s="1162"/>
    </row>
    <row r="244" spans="1:20" ht="15" customHeight="1">
      <c r="A244" s="492"/>
      <c r="B244" s="3908"/>
      <c r="C244" s="3909"/>
      <c r="D244" s="3910"/>
      <c r="E244" s="1346"/>
      <c r="F244" s="492"/>
      <c r="G244" s="492"/>
      <c r="H244" s="492"/>
      <c r="I244" s="492"/>
      <c r="J244" s="492"/>
      <c r="K244" s="1675"/>
      <c r="L244" s="1396"/>
      <c r="M244" s="530"/>
      <c r="N244" s="1162"/>
      <c r="O244" s="1162"/>
      <c r="P244" s="1162"/>
      <c r="Q244" s="1162"/>
      <c r="R244" s="1162"/>
      <c r="S244" s="1162"/>
      <c r="T244" s="1162"/>
    </row>
    <row r="245" spans="1:20" ht="15" customHeight="1">
      <c r="A245" s="492"/>
      <c r="B245" s="3908"/>
      <c r="C245" s="3909"/>
      <c r="D245" s="3910"/>
      <c r="E245" s="1346"/>
      <c r="F245" s="492"/>
      <c r="G245" s="492"/>
      <c r="H245" s="492"/>
      <c r="I245" s="492"/>
      <c r="J245" s="492"/>
      <c r="K245" s="1675"/>
      <c r="L245" s="1396"/>
      <c r="M245" s="530"/>
      <c r="N245" s="1162"/>
      <c r="O245" s="1162"/>
      <c r="P245" s="1162"/>
      <c r="Q245" s="1162"/>
      <c r="R245" s="1162"/>
      <c r="S245" s="1162"/>
      <c r="T245" s="1162"/>
    </row>
    <row r="246" spans="1:20" ht="15" customHeight="1">
      <c r="A246" s="492"/>
      <c r="B246" s="3908"/>
      <c r="C246" s="3909"/>
      <c r="D246" s="3910"/>
      <c r="E246" s="1346"/>
      <c r="F246" s="492"/>
      <c r="G246" s="492"/>
      <c r="H246" s="492"/>
      <c r="I246" s="492"/>
      <c r="J246" s="492"/>
      <c r="K246" s="1675"/>
      <c r="L246" s="1396"/>
      <c r="M246" s="530"/>
      <c r="N246" s="1162"/>
      <c r="O246" s="1162"/>
      <c r="P246" s="1162"/>
      <c r="Q246" s="1162"/>
      <c r="R246" s="1162"/>
      <c r="S246" s="1162"/>
      <c r="T246" s="1162"/>
    </row>
    <row r="247" spans="1:20" ht="15" customHeight="1">
      <c r="A247" s="492"/>
      <c r="B247" s="3911"/>
      <c r="C247" s="3912"/>
      <c r="D247" s="3913"/>
      <c r="E247" s="1346"/>
      <c r="F247" s="492"/>
      <c r="G247" s="492"/>
      <c r="H247" s="492"/>
      <c r="I247" s="492"/>
      <c r="J247" s="492"/>
      <c r="K247" s="492"/>
      <c r="L247" s="492"/>
      <c r="M247" s="492"/>
      <c r="N247" s="969"/>
      <c r="O247" s="969"/>
      <c r="P247" s="969"/>
      <c r="Q247" s="969"/>
      <c r="R247" s="969"/>
      <c r="S247" s="1214"/>
      <c r="T247" s="1162"/>
    </row>
    <row r="248" spans="1:20" ht="15" customHeight="1">
      <c r="A248" s="492"/>
      <c r="B248" s="3357"/>
      <c r="C248" s="3357"/>
      <c r="D248" s="3357"/>
      <c r="E248" s="1346"/>
      <c r="F248" s="492"/>
      <c r="G248" s="492"/>
      <c r="H248" s="492"/>
      <c r="I248" s="492"/>
      <c r="J248" s="492"/>
      <c r="K248" s="492"/>
      <c r="L248" s="492"/>
      <c r="M248" s="492"/>
      <c r="N248" s="969"/>
      <c r="O248" s="969"/>
      <c r="P248" s="969"/>
      <c r="Q248" s="3491"/>
      <c r="R248" s="3491"/>
      <c r="S248" s="3491"/>
      <c r="T248" s="1162"/>
    </row>
    <row r="249" spans="1:20" ht="15" customHeight="1">
      <c r="A249" s="492"/>
      <c r="B249" s="3357"/>
      <c r="C249" s="3357"/>
      <c r="D249" s="3357"/>
      <c r="E249" s="1346"/>
      <c r="F249" s="492"/>
      <c r="G249" s="492"/>
      <c r="H249" s="492"/>
      <c r="I249" s="492"/>
      <c r="J249" s="492"/>
      <c r="K249" s="492"/>
      <c r="L249" s="492"/>
      <c r="M249" s="492"/>
      <c r="N249" s="3916"/>
      <c r="O249" s="3916"/>
      <c r="P249" s="3916"/>
      <c r="Q249" s="3914" t="s">
        <v>231</v>
      </c>
      <c r="R249" s="3914"/>
      <c r="S249" s="3914"/>
      <c r="T249" s="1162"/>
    </row>
    <row r="250" spans="1:20" ht="15" customHeight="1">
      <c r="A250" s="1478"/>
      <c r="B250" s="1479"/>
      <c r="C250" s="1479"/>
      <c r="D250" s="1479"/>
      <c r="E250" s="1346"/>
      <c r="F250" s="492"/>
      <c r="G250" s="492"/>
      <c r="H250" s="492"/>
      <c r="I250" s="492"/>
      <c r="J250" s="492"/>
      <c r="K250" s="492"/>
      <c r="L250" s="492"/>
      <c r="M250" s="492"/>
      <c r="N250" s="3899" t="s">
        <v>1011</v>
      </c>
      <c r="O250" s="3899"/>
      <c r="P250" s="3899"/>
      <c r="Q250" s="3900" t="s">
        <v>1</v>
      </c>
      <c r="R250" s="3900"/>
      <c r="S250" s="3900"/>
      <c r="T250" s="1162"/>
    </row>
    <row r="251" spans="1:20" ht="15" customHeight="1">
      <c r="A251" s="3915" t="s">
        <v>1390</v>
      </c>
      <c r="B251" s="3915"/>
      <c r="C251" s="3915"/>
      <c r="D251" s="3915"/>
      <c r="E251" s="3915"/>
      <c r="F251" s="3915"/>
      <c r="G251" s="3915"/>
      <c r="H251" s="492"/>
      <c r="I251" s="492"/>
      <c r="J251" s="492"/>
      <c r="K251" s="492"/>
      <c r="L251" s="492"/>
      <c r="M251" s="492"/>
      <c r="N251" s="3899" t="s">
        <v>1013</v>
      </c>
      <c r="O251" s="3899"/>
      <c r="P251" s="3899"/>
      <c r="Q251" s="3900" t="s">
        <v>235</v>
      </c>
      <c r="R251" s="3900"/>
      <c r="S251" s="3900"/>
      <c r="T251" s="1162"/>
    </row>
    <row r="252" spans="1:20" ht="15" customHeight="1">
      <c r="A252" s="492"/>
      <c r="B252" s="492"/>
      <c r="C252" s="492"/>
      <c r="D252" s="492"/>
      <c r="E252" s="492"/>
      <c r="F252" s="492"/>
      <c r="G252" s="492"/>
      <c r="H252" s="492"/>
      <c r="I252" s="492"/>
      <c r="J252" s="492"/>
      <c r="K252" s="492"/>
      <c r="L252" s="492"/>
      <c r="M252" s="492"/>
      <c r="N252" s="492"/>
      <c r="O252" s="492"/>
      <c r="P252" s="492"/>
      <c r="Q252" s="492"/>
      <c r="R252" s="530"/>
      <c r="S252" s="530"/>
      <c r="T252" s="1162"/>
    </row>
  </sheetData>
  <sheetProtection password="FA80" sheet="1" objects="1" scenarios="1"/>
  <mergeCells count="346">
    <mergeCell ref="D106:H106"/>
    <mergeCell ref="D114:E114"/>
    <mergeCell ref="G114:H114"/>
    <mergeCell ref="D107:H107"/>
    <mergeCell ref="N108:P108"/>
    <mergeCell ref="C117:D117"/>
    <mergeCell ref="H118:J119"/>
    <mergeCell ref="D110:E110"/>
    <mergeCell ref="G110:H110"/>
    <mergeCell ref="K110:P110"/>
    <mergeCell ref="D112:E112"/>
    <mergeCell ref="G112:H112"/>
    <mergeCell ref="O103:P103"/>
    <mergeCell ref="K105:P105"/>
    <mergeCell ref="O136:Q136"/>
    <mergeCell ref="O127:Q127"/>
    <mergeCell ref="M95:N95"/>
    <mergeCell ref="O95:P95"/>
    <mergeCell ref="M96:N96"/>
    <mergeCell ref="O96:P96"/>
    <mergeCell ref="K106:L106"/>
    <mergeCell ref="N106:O106"/>
    <mergeCell ref="K107:L107"/>
    <mergeCell ref="N107:O107"/>
    <mergeCell ref="K108:L108"/>
    <mergeCell ref="K151:Q152"/>
    <mergeCell ref="B152:D152"/>
    <mergeCell ref="D144:E144"/>
    <mergeCell ref="G144:I144"/>
    <mergeCell ref="K144:R146"/>
    <mergeCell ref="D145:E145"/>
    <mergeCell ref="D146:E146"/>
    <mergeCell ref="O123:Q123"/>
    <mergeCell ref="O126:Q126"/>
    <mergeCell ref="A129:M129"/>
    <mergeCell ref="A130:R131"/>
    <mergeCell ref="A134:B134"/>
    <mergeCell ref="A135:B135"/>
    <mergeCell ref="O135:R135"/>
    <mergeCell ref="D147:J147"/>
    <mergeCell ref="A150:B150"/>
    <mergeCell ref="C150:I150"/>
    <mergeCell ref="A122:B122"/>
    <mergeCell ref="O153:Q153"/>
    <mergeCell ref="B151:D151"/>
    <mergeCell ref="H151:J152"/>
    <mergeCell ref="G146:I146"/>
    <mergeCell ref="G145:I145"/>
    <mergeCell ref="A1:B1"/>
    <mergeCell ref="P1:R1"/>
    <mergeCell ref="P2:R2"/>
    <mergeCell ref="E3:I3"/>
    <mergeCell ref="P3:R3"/>
    <mergeCell ref="A32:B32"/>
    <mergeCell ref="D32:H32"/>
    <mergeCell ref="N32:R32"/>
    <mergeCell ref="D33:F33"/>
    <mergeCell ref="G33:H33"/>
    <mergeCell ref="J33:L34"/>
    <mergeCell ref="D34:F34"/>
    <mergeCell ref="G34:H34"/>
    <mergeCell ref="A4:B4"/>
    <mergeCell ref="K12:L12"/>
    <mergeCell ref="J15:L15"/>
    <mergeCell ref="I23:K23"/>
    <mergeCell ref="I24:K24"/>
    <mergeCell ref="B27:C27"/>
    <mergeCell ref="G1:J1"/>
    <mergeCell ref="C50:E50"/>
    <mergeCell ref="K50:L50"/>
    <mergeCell ref="C51:D51"/>
    <mergeCell ref="K51:L51"/>
    <mergeCell ref="N51:Q53"/>
    <mergeCell ref="C52:D52"/>
    <mergeCell ref="K52:L52"/>
    <mergeCell ref="C53:D53"/>
    <mergeCell ref="K53:L53"/>
    <mergeCell ref="D35:F35"/>
    <mergeCell ref="G35:H35"/>
    <mergeCell ref="J35:L35"/>
    <mergeCell ref="N35:N38"/>
    <mergeCell ref="D36:H36"/>
    <mergeCell ref="J36:L36"/>
    <mergeCell ref="F46:G47"/>
    <mergeCell ref="I46:J46"/>
    <mergeCell ref="N46:O46"/>
    <mergeCell ref="K47:L47"/>
    <mergeCell ref="N47:P47"/>
    <mergeCell ref="I42:J42"/>
    <mergeCell ref="N42:O42"/>
    <mergeCell ref="O36:Q37"/>
    <mergeCell ref="C58:D58"/>
    <mergeCell ref="K57:L57"/>
    <mergeCell ref="D103:H103"/>
    <mergeCell ref="D105:H105"/>
    <mergeCell ref="K103:L103"/>
    <mergeCell ref="G83:I83"/>
    <mergeCell ref="C94:D94"/>
    <mergeCell ref="E94:F95"/>
    <mergeCell ref="G94:H94"/>
    <mergeCell ref="C95:D95"/>
    <mergeCell ref="G95:H95"/>
    <mergeCell ref="C96:D96"/>
    <mergeCell ref="E96:F96"/>
    <mergeCell ref="G96:H96"/>
    <mergeCell ref="C97:G97"/>
    <mergeCell ref="C98:H98"/>
    <mergeCell ref="K94:L94"/>
    <mergeCell ref="C92:D93"/>
    <mergeCell ref="K97:L97"/>
    <mergeCell ref="C68:D68"/>
    <mergeCell ref="D37:H37"/>
    <mergeCell ref="J37:L37"/>
    <mergeCell ref="D38:H38"/>
    <mergeCell ref="J38:L38"/>
    <mergeCell ref="F40:G41"/>
    <mergeCell ref="I41:L41"/>
    <mergeCell ref="N41:Q41"/>
    <mergeCell ref="R42:R46"/>
    <mergeCell ref="F43:G44"/>
    <mergeCell ref="I43:J43"/>
    <mergeCell ref="N43:O43"/>
    <mergeCell ref="I44:J44"/>
    <mergeCell ref="N44:O44"/>
    <mergeCell ref="I45:J45"/>
    <mergeCell ref="N45:O45"/>
    <mergeCell ref="A49:B49"/>
    <mergeCell ref="A63:B63"/>
    <mergeCell ref="C63:D63"/>
    <mergeCell ref="E63:F63"/>
    <mergeCell ref="G63:H63"/>
    <mergeCell ref="I63:J63"/>
    <mergeCell ref="K63:L63"/>
    <mergeCell ref="N67:O67"/>
    <mergeCell ref="C59:D59"/>
    <mergeCell ref="K58:L58"/>
    <mergeCell ref="C54:E56"/>
    <mergeCell ref="M63:Q64"/>
    <mergeCell ref="C64:D64"/>
    <mergeCell ref="E64:F64"/>
    <mergeCell ref="G64:H64"/>
    <mergeCell ref="I64:J64"/>
    <mergeCell ref="K64:L64"/>
    <mergeCell ref="K59:L59"/>
    <mergeCell ref="K60:L60"/>
    <mergeCell ref="K54:L54"/>
    <mergeCell ref="K55:L55"/>
    <mergeCell ref="C57:D57"/>
    <mergeCell ref="K56:L56"/>
    <mergeCell ref="F57:H59"/>
    <mergeCell ref="A70:B70"/>
    <mergeCell ref="D70:E70"/>
    <mergeCell ref="J70:K70"/>
    <mergeCell ref="N70:Q70"/>
    <mergeCell ref="C65:D66"/>
    <mergeCell ref="E65:L66"/>
    <mergeCell ref="A66:B66"/>
    <mergeCell ref="A67:B67"/>
    <mergeCell ref="C67:D67"/>
    <mergeCell ref="F67:G67"/>
    <mergeCell ref="I67:L67"/>
    <mergeCell ref="N73:P73"/>
    <mergeCell ref="R73:T73"/>
    <mergeCell ref="C74:L76"/>
    <mergeCell ref="C77:L77"/>
    <mergeCell ref="A80:B80"/>
    <mergeCell ref="L80:N80"/>
    <mergeCell ref="A71:B71"/>
    <mergeCell ref="D71:E71"/>
    <mergeCell ref="G71:H73"/>
    <mergeCell ref="J71:K71"/>
    <mergeCell ref="N71:P71"/>
    <mergeCell ref="D72:E72"/>
    <mergeCell ref="J72:K72"/>
    <mergeCell ref="N72:P72"/>
    <mergeCell ref="D73:E73"/>
    <mergeCell ref="J73:K73"/>
    <mergeCell ref="A89:B89"/>
    <mergeCell ref="C89:D89"/>
    <mergeCell ref="E89:F90"/>
    <mergeCell ref="G89:H89"/>
    <mergeCell ref="C90:D90"/>
    <mergeCell ref="G90:H90"/>
    <mergeCell ref="C86:R86"/>
    <mergeCell ref="N83:R84"/>
    <mergeCell ref="C91:D91"/>
    <mergeCell ref="E91:F91"/>
    <mergeCell ref="G91:H91"/>
    <mergeCell ref="K89:L89"/>
    <mergeCell ref="N89:O89"/>
    <mergeCell ref="K90:L90"/>
    <mergeCell ref="N90:O90"/>
    <mergeCell ref="H154:J154"/>
    <mergeCell ref="N164:O164"/>
    <mergeCell ref="N165:O165"/>
    <mergeCell ref="D154:D155"/>
    <mergeCell ref="K154:M154"/>
    <mergeCell ref="A101:B101"/>
    <mergeCell ref="K101:P101"/>
    <mergeCell ref="B102:H102"/>
    <mergeCell ref="K102:L102"/>
    <mergeCell ref="O102:P102"/>
    <mergeCell ref="D104:F104"/>
    <mergeCell ref="A116:B116"/>
    <mergeCell ref="O154:Q154"/>
    <mergeCell ref="H155:J155"/>
    <mergeCell ref="K155:M155"/>
    <mergeCell ref="O155:Q155"/>
    <mergeCell ref="H153:J153"/>
    <mergeCell ref="K153:M153"/>
    <mergeCell ref="O139:Q139"/>
    <mergeCell ref="B140:F140"/>
    <mergeCell ref="O140:Q140"/>
    <mergeCell ref="O141:R141"/>
    <mergeCell ref="A143:B143"/>
    <mergeCell ref="C143:H143"/>
    <mergeCell ref="J166:M166"/>
    <mergeCell ref="H156:J156"/>
    <mergeCell ref="K156:M156"/>
    <mergeCell ref="O156:Q156"/>
    <mergeCell ref="B157:Q158"/>
    <mergeCell ref="A161:B161"/>
    <mergeCell ref="A162:B162"/>
    <mergeCell ref="C162:G162"/>
    <mergeCell ref="H162:I162"/>
    <mergeCell ref="K162:M162"/>
    <mergeCell ref="O166:P166"/>
    <mergeCell ref="C163:G163"/>
    <mergeCell ref="C164:G164"/>
    <mergeCell ref="K164:M164"/>
    <mergeCell ref="C165:I165"/>
    <mergeCell ref="K165:M165"/>
    <mergeCell ref="F172:G172"/>
    <mergeCell ref="N172:O173"/>
    <mergeCell ref="P172:Q172"/>
    <mergeCell ref="P173:Q173"/>
    <mergeCell ref="B177:H177"/>
    <mergeCell ref="N177:O177"/>
    <mergeCell ref="D173:E173"/>
    <mergeCell ref="B172:D172"/>
    <mergeCell ref="A171:C171"/>
    <mergeCell ref="B178:H178"/>
    <mergeCell ref="N178:O178"/>
    <mergeCell ref="N179:O179"/>
    <mergeCell ref="N180:O180"/>
    <mergeCell ref="N174:O174"/>
    <mergeCell ref="N175:O175"/>
    <mergeCell ref="N176:O176"/>
    <mergeCell ref="D174:E174"/>
    <mergeCell ref="D175:E175"/>
    <mergeCell ref="D176:E176"/>
    <mergeCell ref="A181:K181"/>
    <mergeCell ref="N181:O181"/>
    <mergeCell ref="D182:E182"/>
    <mergeCell ref="G182:H183"/>
    <mergeCell ref="J182:K182"/>
    <mergeCell ref="L182:L196"/>
    <mergeCell ref="N182:O182"/>
    <mergeCell ref="N183:O183"/>
    <mergeCell ref="G184:H184"/>
    <mergeCell ref="N184:O184"/>
    <mergeCell ref="C190:E190"/>
    <mergeCell ref="H190:J190"/>
    <mergeCell ref="N190:O190"/>
    <mergeCell ref="C191:E191"/>
    <mergeCell ref="H191:J191"/>
    <mergeCell ref="N191:O191"/>
    <mergeCell ref="C188:E188"/>
    <mergeCell ref="C189:E189"/>
    <mergeCell ref="N189:O189"/>
    <mergeCell ref="P198:Q198"/>
    <mergeCell ref="B195:E196"/>
    <mergeCell ref="H195:J195"/>
    <mergeCell ref="H196:J196"/>
    <mergeCell ref="G185:H185"/>
    <mergeCell ref="N185:O185"/>
    <mergeCell ref="G186:H186"/>
    <mergeCell ref="N186:O186"/>
    <mergeCell ref="D187:E187"/>
    <mergeCell ref="G187:H187"/>
    <mergeCell ref="N187:O187"/>
    <mergeCell ref="N193:O193"/>
    <mergeCell ref="H193:J193"/>
    <mergeCell ref="N197:O197"/>
    <mergeCell ref="H194:J194"/>
    <mergeCell ref="N198:O199"/>
    <mergeCell ref="N192:O192"/>
    <mergeCell ref="G188:G189"/>
    <mergeCell ref="H188:J189"/>
    <mergeCell ref="K188:K189"/>
    <mergeCell ref="N188:O188"/>
    <mergeCell ref="D204:E204"/>
    <mergeCell ref="F204:I204"/>
    <mergeCell ref="A207:D207"/>
    <mergeCell ref="E207:F207"/>
    <mergeCell ref="B208:C208"/>
    <mergeCell ref="B209:C209"/>
    <mergeCell ref="M202:M203"/>
    <mergeCell ref="D203:E203"/>
    <mergeCell ref="B192:E192"/>
    <mergeCell ref="H192:J192"/>
    <mergeCell ref="B216:C216"/>
    <mergeCell ref="B217:C217"/>
    <mergeCell ref="B218:C218"/>
    <mergeCell ref="B219:C219"/>
    <mergeCell ref="B220:C220"/>
    <mergeCell ref="B221:C221"/>
    <mergeCell ref="B210:C210"/>
    <mergeCell ref="B211:C211"/>
    <mergeCell ref="B212:C212"/>
    <mergeCell ref="B213:C213"/>
    <mergeCell ref="B214:C214"/>
    <mergeCell ref="B215:C215"/>
    <mergeCell ref="B231:C231"/>
    <mergeCell ref="B232:C232"/>
    <mergeCell ref="B233:C233"/>
    <mergeCell ref="B222:C222"/>
    <mergeCell ref="B223:C223"/>
    <mergeCell ref="B224:C224"/>
    <mergeCell ref="B225:C225"/>
    <mergeCell ref="B226:C226"/>
    <mergeCell ref="B227:C227"/>
    <mergeCell ref="B168:P168"/>
    <mergeCell ref="N194:O194"/>
    <mergeCell ref="N195:O195"/>
    <mergeCell ref="N196:O196"/>
    <mergeCell ref="N251:P251"/>
    <mergeCell ref="Q251:S251"/>
    <mergeCell ref="B240:C240"/>
    <mergeCell ref="B241:C241"/>
    <mergeCell ref="B242:C242"/>
    <mergeCell ref="B243:D247"/>
    <mergeCell ref="Q249:S249"/>
    <mergeCell ref="N250:P250"/>
    <mergeCell ref="Q250:S250"/>
    <mergeCell ref="A251:G251"/>
    <mergeCell ref="N249:P249"/>
    <mergeCell ref="B234:C234"/>
    <mergeCell ref="B235:C235"/>
    <mergeCell ref="B236:C236"/>
    <mergeCell ref="B237:C237"/>
    <mergeCell ref="B238:C238"/>
    <mergeCell ref="B239:C239"/>
    <mergeCell ref="B228:C228"/>
    <mergeCell ref="B229:C229"/>
    <mergeCell ref="B230:C230"/>
  </mergeCells>
  <conditionalFormatting sqref="D186:D187 C187">
    <cfRule type="cellIs" dxfId="137" priority="50" stopIfTrue="1" operator="between">
      <formula>20</formula>
      <formula>25</formula>
    </cfRule>
    <cfRule type="cellIs" dxfId="136" priority="51" stopIfTrue="1" operator="between">
      <formula>25</formula>
      <formula>30</formula>
    </cfRule>
    <cfRule type="cellIs" dxfId="135" priority="52" stopIfTrue="1" operator="greaterThanOrEqual">
      <formula>30</formula>
    </cfRule>
  </conditionalFormatting>
  <conditionalFormatting sqref="P125 I81 Q81 F84 M84">
    <cfRule type="cellIs" dxfId="134" priority="49" stopIfTrue="1" operator="greaterThan">
      <formula>200</formula>
    </cfRule>
  </conditionalFormatting>
  <conditionalFormatting sqref="D81 O81 E84 L84">
    <cfRule type="cellIs" dxfId="133" priority="48" stopIfTrue="1" operator="greaterThan">
      <formula>175</formula>
    </cfRule>
  </conditionalFormatting>
  <conditionalFormatting sqref="F71:F72 L71:L72 C73 I73">
    <cfRule type="cellIs" dxfId="132" priority="47" stopIfTrue="1" operator="lessThan">
      <formula>0</formula>
    </cfRule>
  </conditionalFormatting>
  <conditionalFormatting sqref="Q44">
    <cfRule type="cellIs" dxfId="131" priority="46" stopIfTrue="1" operator="notEqual">
      <formula>Q43</formula>
    </cfRule>
  </conditionalFormatting>
  <conditionalFormatting sqref="Q44">
    <cfRule type="cellIs" dxfId="130" priority="45" operator="notEqual">
      <formula>Q43</formula>
    </cfRule>
  </conditionalFormatting>
  <conditionalFormatting sqref="L44">
    <cfRule type="cellIs" dxfId="129" priority="44" stopIfTrue="1" operator="notEqual">
      <formula>L43</formula>
    </cfRule>
  </conditionalFormatting>
  <conditionalFormatting sqref="L44">
    <cfRule type="cellIs" dxfId="128" priority="43" operator="notEqual">
      <formula>L43</formula>
    </cfRule>
  </conditionalFormatting>
  <conditionalFormatting sqref="K44">
    <cfRule type="cellIs" dxfId="127" priority="42" operator="notEqual">
      <formula>K43</formula>
    </cfRule>
  </conditionalFormatting>
  <conditionalFormatting sqref="P44">
    <cfRule type="cellIs" dxfId="126" priority="41" operator="notEqual">
      <formula>P43</formula>
    </cfRule>
  </conditionalFormatting>
  <conditionalFormatting sqref="E58">
    <cfRule type="cellIs" dxfId="125" priority="40" operator="lessThan">
      <formula>0</formula>
    </cfRule>
  </conditionalFormatting>
  <conditionalFormatting sqref="C187 D186:D187 E186">
    <cfRule type="cellIs" dxfId="124" priority="37" stopIfTrue="1" operator="between">
      <formula>20</formula>
      <formula>25</formula>
    </cfRule>
    <cfRule type="cellIs" dxfId="123" priority="38" stopIfTrue="1" operator="between">
      <formula>25</formula>
      <formula>30</formula>
    </cfRule>
    <cfRule type="cellIs" dxfId="122" priority="39" stopIfTrue="1" operator="greaterThanOrEqual">
      <formula>30</formula>
    </cfRule>
  </conditionalFormatting>
  <conditionalFormatting sqref="I186:I187 K186:K187 C187">
    <cfRule type="cellIs" dxfId="121" priority="34" stopIfTrue="1" operator="between">
      <formula>43</formula>
      <formula>53</formula>
    </cfRule>
    <cfRule type="cellIs" dxfId="120" priority="35" stopIfTrue="1" operator="between">
      <formula>53</formula>
      <formula>58</formula>
    </cfRule>
    <cfRule type="cellIs" dxfId="119" priority="36" stopIfTrue="1" operator="greaterThanOrEqual">
      <formula>58</formula>
    </cfRule>
  </conditionalFormatting>
  <conditionalFormatting sqref="K185:K186">
    <cfRule type="cellIs" dxfId="118" priority="31" stopIfTrue="1" operator="between">
      <formula>43</formula>
      <formula>49</formula>
    </cfRule>
    <cfRule type="cellIs" dxfId="117" priority="32" stopIfTrue="1" operator="between">
      <formula>49</formula>
      <formula>54</formula>
    </cfRule>
    <cfRule type="cellIs" dxfId="116" priority="33" stopIfTrue="1" operator="greaterThanOrEqual">
      <formula>54</formula>
    </cfRule>
  </conditionalFormatting>
  <conditionalFormatting sqref="Q44">
    <cfRule type="cellIs" dxfId="115" priority="30" stopIfTrue="1" operator="notEqual">
      <formula>Q43</formula>
    </cfRule>
  </conditionalFormatting>
  <conditionalFormatting sqref="Q44">
    <cfRule type="cellIs" dxfId="114" priority="29" operator="notEqual">
      <formula>Q43</formula>
    </cfRule>
  </conditionalFormatting>
  <conditionalFormatting sqref="L44">
    <cfRule type="cellIs" dxfId="113" priority="28" stopIfTrue="1" operator="notEqual">
      <formula>L43</formula>
    </cfRule>
  </conditionalFormatting>
  <conditionalFormatting sqref="L44">
    <cfRule type="cellIs" dxfId="112" priority="27" operator="notEqual">
      <formula>L43</formula>
    </cfRule>
  </conditionalFormatting>
  <conditionalFormatting sqref="K44">
    <cfRule type="cellIs" dxfId="111" priority="26" operator="notEqual">
      <formula>K43</formula>
    </cfRule>
  </conditionalFormatting>
  <conditionalFormatting sqref="P44">
    <cfRule type="cellIs" dxfId="110" priority="25" operator="notEqual">
      <formula>P43</formula>
    </cfRule>
  </conditionalFormatting>
  <conditionalFormatting sqref="I186">
    <cfRule type="cellIs" dxfId="109" priority="22" stopIfTrue="1" operator="between">
      <formula>42</formula>
      <formula>49</formula>
    </cfRule>
    <cfRule type="cellIs" dxfId="108" priority="23" stopIfTrue="1" operator="between">
      <formula>49</formula>
      <formula>54</formula>
    </cfRule>
    <cfRule type="cellIs" dxfId="107" priority="24" stopIfTrue="1" operator="greaterThanOrEqual">
      <formula>54</formula>
    </cfRule>
  </conditionalFormatting>
  <conditionalFormatting sqref="C187">
    <cfRule type="cellIs" dxfId="106" priority="19" stopIfTrue="1" operator="between">
      <formula>20</formula>
      <formula>25</formula>
    </cfRule>
    <cfRule type="cellIs" dxfId="105" priority="20" stopIfTrue="1" operator="between">
      <formula>25</formula>
      <formula>30</formula>
    </cfRule>
    <cfRule type="cellIs" dxfId="104" priority="21" stopIfTrue="1" operator="greaterThanOrEqual">
      <formula>30</formula>
    </cfRule>
  </conditionalFormatting>
  <conditionalFormatting sqref="M54">
    <cfRule type="cellIs" dxfId="103" priority="18" stopIfTrue="1" operator="notEqual">
      <formula>#REF!</formula>
    </cfRule>
  </conditionalFormatting>
  <conditionalFormatting sqref="M54">
    <cfRule type="cellIs" dxfId="102" priority="17" operator="notEqual">
      <formula>#REF!</formula>
    </cfRule>
  </conditionalFormatting>
  <conditionalFormatting sqref="J52">
    <cfRule type="cellIs" dxfId="101" priority="16" operator="notEqual">
      <formula>J51</formula>
    </cfRule>
  </conditionalFormatting>
  <conditionalFormatting sqref="J52">
    <cfRule type="cellIs" dxfId="100" priority="15" operator="notEqual">
      <formula>J51</formula>
    </cfRule>
  </conditionalFormatting>
  <conditionalFormatting sqref="J57">
    <cfRule type="cellIs" dxfId="99" priority="14" operator="notEqual">
      <formula>J56</formula>
    </cfRule>
  </conditionalFormatting>
  <conditionalFormatting sqref="J57">
    <cfRule type="cellIs" dxfId="98" priority="13" operator="notEqual">
      <formula>J56</formula>
    </cfRule>
  </conditionalFormatting>
  <conditionalFormatting sqref="M52">
    <cfRule type="cellIs" dxfId="97" priority="12" stopIfTrue="1" operator="notEqual">
      <formula>M51</formula>
    </cfRule>
  </conditionalFormatting>
  <conditionalFormatting sqref="M52">
    <cfRule type="cellIs" dxfId="96" priority="11" operator="notEqual">
      <formula>M51</formula>
    </cfRule>
  </conditionalFormatting>
  <conditionalFormatting sqref="M52">
    <cfRule type="cellIs" dxfId="95" priority="10" stopIfTrue="1" operator="notEqual">
      <formula>M51</formula>
    </cfRule>
  </conditionalFormatting>
  <conditionalFormatting sqref="M52">
    <cfRule type="cellIs" dxfId="94" priority="9" operator="notEqual">
      <formula>M51</formula>
    </cfRule>
  </conditionalFormatting>
  <conditionalFormatting sqref="M52">
    <cfRule type="cellIs" dxfId="93" priority="8" stopIfTrue="1" operator="notEqual">
      <formula>M51</formula>
    </cfRule>
  </conditionalFormatting>
  <conditionalFormatting sqref="M52">
    <cfRule type="cellIs" dxfId="92" priority="7" operator="notEqual">
      <formula>M51</formula>
    </cfRule>
  </conditionalFormatting>
  <conditionalFormatting sqref="M57">
    <cfRule type="cellIs" dxfId="91" priority="6" stopIfTrue="1" operator="notEqual">
      <formula>M56</formula>
    </cfRule>
  </conditionalFormatting>
  <conditionalFormatting sqref="M57">
    <cfRule type="cellIs" dxfId="90" priority="5" operator="notEqual">
      <formula>M56</formula>
    </cfRule>
  </conditionalFormatting>
  <conditionalFormatting sqref="M57">
    <cfRule type="cellIs" dxfId="89" priority="4" stopIfTrue="1" operator="notEqual">
      <formula>M56</formula>
    </cfRule>
  </conditionalFormatting>
  <conditionalFormatting sqref="M57">
    <cfRule type="cellIs" dxfId="88" priority="3" operator="notEqual">
      <formula>M56</formula>
    </cfRule>
  </conditionalFormatting>
  <conditionalFormatting sqref="M57">
    <cfRule type="cellIs" dxfId="87" priority="2" stopIfTrue="1" operator="notEqual">
      <formula>M56</formula>
    </cfRule>
  </conditionalFormatting>
  <conditionalFormatting sqref="M57">
    <cfRule type="cellIs" dxfId="86" priority="1" operator="notEqual">
      <formula>M56</formula>
    </cfRule>
  </conditionalFormatting>
  <hyperlinks>
    <hyperlink ref="P2" r:id="rId1"/>
    <hyperlink ref="K39" location="'Wine Calc'!S48" display="When adding water (see cell S48) to a recipe, always err on the side caution as you can add more later if required. The converse is rather more difficult!"/>
    <hyperlink ref="N47" location="'General Calc's'!C24" display="See Temperature Converter"/>
    <hyperlink ref="O47" location="'General Calc's'!C24" display="See Temperature Converter"/>
    <hyperlink ref="P47" location="'General Calc's'!C24" display="See Temperature Converter"/>
    <hyperlink ref="J153" location="'Beer Data Sheet'!AO4" display=" (76% nominally)"/>
    <hyperlink ref="B70" location="'Beer Kit Calc's'!A90" display="EBC (Colour, if known)"/>
    <hyperlink ref="B71" location="'Beer Kit Calc's'!K23" display="Hop extract added (ml)"/>
    <hyperlink ref="N47:P47" location="'General Calc''s'!B24" display="See Temperature Converter"/>
    <hyperlink ref="B140" location="'BJCP'!F1" display="BJCP Guide"/>
    <hyperlink ref="G179" location="'Beer Data Sheet'!N15" display="See &quot;Beer Data Sheet&quot; cells N15 etc. for the Isomerised hop extract settings."/>
    <hyperlink ref="I153" r:id="rId2" display="www.petespintpot.co.uk/health.html "/>
    <hyperlink ref="I154" r:id="rId3" display="www.petespintpot.co.uk/health.html "/>
    <hyperlink ref="L81" location="'Beer Data Sheet'!P20" display="=&quot;1 level 5ml tsp sugar = &quot;&amp;'Beer Data Sheet'!P20&amp;&quot;g&quot;"/>
    <hyperlink ref="H70" location="'General Calc''s'!F55" display="OR"/>
    <hyperlink ref="M41" location="'General Calc''s'!F56" display="OR"/>
    <hyperlink ref="G178" location="'Beer Data Sheet'!N15" display="See &quot;Beer Data Sheet&quot; cells N15 etc. for the Isomerised hop extract settings."/>
    <hyperlink ref="C97:G97" location="'Beer Data Sheet'!AN4" display="Yeast Efficiency is generally assumed to be 76%."/>
    <hyperlink ref="D101:E101" location="'General Calc''s'!L56" display="Brewers degrees used"/>
    <hyperlink ref="C165" location="'Primer'!D1" display="Priming Calc's. For Beers Etc."/>
    <hyperlink ref="E192" location="'BJCP'!F1" display="www.yobrew.co.uk"/>
    <hyperlink ref="E50" location="'Primer'!D1" display="Priming Calc's. For Beers Etc."/>
    <hyperlink ref="C65:D66" location="'General Calc''s'!F56" display="Brewers degrees used"/>
    <hyperlink ref="K155:M155" location="'General Calc''s'!A161" display="Priming sugar added"/>
    <hyperlink ref="C165:I165" location="Primer!F1" display="For more information about &quot;carbonation&quot; see &quot;Beer Primer&quot; page."/>
  </hyperlinks>
  <printOptions horizontalCentered="1"/>
  <pageMargins left="0.51181102362204722" right="0.51181102362204722" top="0.39370078740157483" bottom="0.70866141732283472" header="0.23622047244094491" footer="0.31496062992125984"/>
  <pageSetup paperSize="9" scale="41" fitToHeight="2" orientation="portrait" horizontalDpi="4294967293" verticalDpi="300" r:id="rId4"/>
  <rowBreaks count="1" manualBreakCount="1">
    <brk id="121" max="18" man="1"/>
  </rowBreaks>
  <drawing r:id="rId5"/>
</worksheet>
</file>

<file path=xl/worksheets/sheet3.xml><?xml version="1.0" encoding="utf-8"?>
<worksheet xmlns="http://schemas.openxmlformats.org/spreadsheetml/2006/main" xmlns:r="http://schemas.openxmlformats.org/officeDocument/2006/relationships">
  <sheetPr>
    <tabColor indexed="45"/>
    <pageSetUpPr fitToPage="1"/>
  </sheetPr>
  <dimension ref="A1:AJ114"/>
  <sheetViews>
    <sheetView topLeftCell="A14" zoomScale="75" zoomScaleNormal="75" zoomScaleSheetLayoutView="75" zoomScalePageLayoutView="33" workbookViewId="0">
      <selection activeCell="AK45" sqref="AK45"/>
    </sheetView>
  </sheetViews>
  <sheetFormatPr defaultColWidth="9.42578125" defaultRowHeight="15"/>
  <cols>
    <col min="1" max="1" width="1.85546875" style="473" customWidth="1"/>
    <col min="2" max="2" width="41.5703125" style="473" customWidth="1"/>
    <col min="3" max="3" width="10.7109375" style="342" customWidth="1"/>
    <col min="4" max="5" width="10.7109375" style="473" customWidth="1"/>
    <col min="6" max="6" width="5.85546875" style="473" customWidth="1"/>
    <col min="7" max="14" width="7.42578125" style="473" customWidth="1"/>
    <col min="15" max="15" width="7.28515625" style="473" customWidth="1"/>
    <col min="16" max="16" width="6.7109375" style="473" customWidth="1"/>
    <col min="17" max="17" width="6.42578125" style="473" customWidth="1"/>
    <col min="18" max="21" width="7.42578125" style="473" customWidth="1"/>
    <col min="22" max="22" width="7.140625" style="473" customWidth="1"/>
    <col min="23" max="24" width="7.42578125" style="473" customWidth="1"/>
    <col min="25" max="25" width="2.5703125" style="473" customWidth="1"/>
    <col min="26" max="26" width="8.140625" style="473" hidden="1" customWidth="1"/>
    <col min="27" max="32" width="9" style="473" hidden="1" customWidth="1"/>
    <col min="33" max="34" width="9.42578125" style="1632" hidden="1" customWidth="1"/>
    <col min="35" max="35" width="8.28515625" style="1632" hidden="1" customWidth="1"/>
    <col min="36" max="36" width="3.28515625" style="1632" customWidth="1"/>
    <col min="37" max="16384" width="9.42578125" style="1632"/>
  </cols>
  <sheetData>
    <row r="1" spans="1:36" ht="30" customHeight="1">
      <c r="A1" s="4313" t="s">
        <v>1918</v>
      </c>
      <c r="B1" s="4313"/>
      <c r="C1" s="1627"/>
      <c r="D1" s="1627"/>
      <c r="E1" s="1627"/>
      <c r="F1" s="1627"/>
      <c r="G1" s="4314" t="s">
        <v>1903</v>
      </c>
      <c r="H1" s="4314"/>
      <c r="I1" s="4314"/>
      <c r="J1" s="4314"/>
      <c r="K1" s="4314"/>
      <c r="L1" s="4314"/>
      <c r="M1" s="4314"/>
      <c r="N1" s="1653"/>
      <c r="O1" s="1628"/>
      <c r="P1" s="1629"/>
      <c r="Q1" s="1630"/>
      <c r="R1" s="1627"/>
      <c r="S1" s="1627"/>
      <c r="T1" s="1627"/>
      <c r="U1" s="1627"/>
      <c r="V1" s="4315" t="s">
        <v>1917</v>
      </c>
      <c r="W1" s="4315"/>
      <c r="X1" s="4315"/>
      <c r="Y1" s="4315"/>
      <c r="Z1" s="1631"/>
      <c r="AA1" s="1631"/>
      <c r="AB1" s="1631"/>
      <c r="AC1" s="1631"/>
      <c r="AD1" s="1631"/>
      <c r="AE1" s="1631"/>
      <c r="AF1" s="1631"/>
      <c r="AG1" s="1757"/>
      <c r="AH1" s="1757"/>
      <c r="AI1" s="1757"/>
      <c r="AJ1" s="1642"/>
    </row>
    <row r="2" spans="1:36" ht="14.1" customHeight="1">
      <c r="A2" s="492"/>
      <c r="B2" s="1633"/>
      <c r="C2" s="1134"/>
      <c r="D2" s="352"/>
      <c r="E2" s="352"/>
      <c r="F2" s="361"/>
      <c r="G2" s="361"/>
      <c r="H2" s="1135"/>
      <c r="I2" s="1135"/>
      <c r="J2" s="1135"/>
      <c r="K2" s="1135"/>
      <c r="L2" s="1135"/>
      <c r="M2" s="1135"/>
      <c r="N2" s="1135"/>
      <c r="O2" s="1135"/>
      <c r="P2" s="474"/>
      <c r="Q2" s="474"/>
      <c r="R2" s="492"/>
      <c r="S2" s="492"/>
      <c r="T2" s="492"/>
      <c r="U2" s="492"/>
      <c r="V2" s="4247" t="s">
        <v>1</v>
      </c>
      <c r="W2" s="4247"/>
      <c r="X2" s="4247"/>
      <c r="Y2" s="4247"/>
      <c r="Z2" s="1631"/>
      <c r="AA2" s="1631"/>
      <c r="AB2" s="1631"/>
      <c r="AC2" s="1631"/>
      <c r="AD2" s="1631"/>
      <c r="AE2" s="1631"/>
      <c r="AF2" s="1631"/>
      <c r="AG2" s="1757"/>
      <c r="AH2" s="1757"/>
      <c r="AI2" s="1757"/>
      <c r="AJ2" s="1642"/>
    </row>
    <row r="3" spans="1:36" ht="14.1" customHeight="1">
      <c r="A3" s="492"/>
      <c r="B3" s="4033" t="s">
        <v>1687</v>
      </c>
      <c r="C3" s="4033"/>
      <c r="D3" s="4033"/>
      <c r="E3" s="4033"/>
      <c r="F3" s="4033"/>
      <c r="G3" s="4033"/>
      <c r="H3" s="4033"/>
      <c r="I3" s="4033"/>
      <c r="J3" s="4033"/>
      <c r="K3" s="4033"/>
      <c r="L3" s="4033"/>
      <c r="M3" s="4033"/>
      <c r="N3" s="4033"/>
      <c r="O3" s="4033"/>
      <c r="P3" s="4033"/>
      <c r="Q3" s="4033"/>
      <c r="R3" s="4033"/>
      <c r="S3" s="4033"/>
      <c r="T3" s="3699"/>
      <c r="U3" s="447"/>
      <c r="V3" s="4316" t="s">
        <v>307</v>
      </c>
      <c r="W3" s="4316"/>
      <c r="X3" s="4316"/>
      <c r="Y3" s="4316"/>
      <c r="Z3" s="1631"/>
      <c r="AA3" s="1631"/>
      <c r="AB3" s="1631"/>
      <c r="AC3" s="1631"/>
      <c r="AD3" s="1631"/>
      <c r="AE3" s="1631"/>
      <c r="AF3" s="1631"/>
      <c r="AG3" s="1757"/>
      <c r="AH3" s="1757"/>
      <c r="AI3" s="1757"/>
      <c r="AJ3" s="1642"/>
    </row>
    <row r="4" spans="1:36" ht="8.4499999999999993" customHeight="1">
      <c r="A4" s="492"/>
      <c r="B4" s="447"/>
      <c r="C4" s="1134"/>
      <c r="D4" s="352"/>
      <c r="E4" s="352"/>
      <c r="F4" s="352"/>
      <c r="G4" s="352"/>
      <c r="H4" s="1626"/>
      <c r="I4" s="447"/>
      <c r="J4" s="447"/>
      <c r="K4" s="447"/>
      <c r="L4" s="447"/>
      <c r="M4" s="447"/>
      <c r="N4" s="447"/>
      <c r="O4" s="447"/>
      <c r="P4" s="447"/>
      <c r="Q4" s="447"/>
      <c r="R4" s="447"/>
      <c r="S4" s="447"/>
      <c r="T4" s="447"/>
      <c r="U4" s="447"/>
      <c r="V4" s="492"/>
      <c r="W4" s="492"/>
      <c r="X4" s="492"/>
      <c r="Y4" s="492"/>
      <c r="Z4" s="1631"/>
      <c r="AA4" s="1631"/>
      <c r="AB4" s="1631"/>
      <c r="AC4" s="1631"/>
      <c r="AD4" s="1631"/>
      <c r="AE4" s="1631"/>
      <c r="AF4" s="1631"/>
      <c r="AG4" s="1757"/>
      <c r="AH4" s="1757"/>
      <c r="AI4" s="1757"/>
      <c r="AJ4" s="1642"/>
    </row>
    <row r="5" spans="1:36" ht="15" customHeight="1">
      <c r="A5" s="492"/>
      <c r="B5" s="447"/>
      <c r="C5" s="447"/>
      <c r="D5" s="524"/>
      <c r="E5" s="3623"/>
      <c r="F5" s="4320" t="s">
        <v>389</v>
      </c>
      <c r="G5" s="4320"/>
      <c r="H5" s="4320"/>
      <c r="I5" s="4320"/>
      <c r="J5" s="4320"/>
      <c r="K5" s="4320"/>
      <c r="L5" s="4320"/>
      <c r="M5" s="4321" t="s">
        <v>1724</v>
      </c>
      <c r="N5" s="4321"/>
      <c r="O5" s="4321"/>
      <c r="P5" s="4321"/>
      <c r="Q5" s="447"/>
      <c r="R5" s="447"/>
      <c r="S5" s="447"/>
      <c r="T5" s="447"/>
      <c r="U5" s="447"/>
      <c r="V5" s="492"/>
      <c r="W5" s="492"/>
      <c r="X5" s="492"/>
      <c r="Y5" s="492"/>
      <c r="Z5" s="4322" t="s">
        <v>0</v>
      </c>
      <c r="AA5" s="4322"/>
      <c r="AB5" s="4322"/>
      <c r="AC5" s="4322"/>
      <c r="AD5" s="4322"/>
      <c r="AE5" s="4322"/>
      <c r="AF5" s="4322"/>
      <c r="AG5" s="4322"/>
      <c r="AH5" s="4322"/>
      <c r="AI5" s="4322"/>
      <c r="AJ5" s="1642"/>
    </row>
    <row r="6" spans="1:36" ht="15" customHeight="1">
      <c r="A6" s="4015" t="s">
        <v>1677</v>
      </c>
      <c r="B6" s="4015"/>
      <c r="C6" s="447"/>
      <c r="D6" s="1136"/>
      <c r="E6" s="447"/>
      <c r="F6" s="447"/>
      <c r="G6" s="447"/>
      <c r="H6" s="447"/>
      <c r="I6" s="447"/>
      <c r="J6" s="447"/>
      <c r="K6" s="447"/>
      <c r="L6" s="447"/>
      <c r="M6" s="447"/>
      <c r="N6" s="447"/>
      <c r="O6" s="447"/>
      <c r="P6" s="447"/>
      <c r="Q6" s="447"/>
      <c r="R6" s="447"/>
      <c r="S6" s="447"/>
      <c r="T6" s="447"/>
      <c r="U6" s="447"/>
      <c r="V6" s="447"/>
      <c r="W6" s="447"/>
      <c r="X6" s="447"/>
      <c r="Y6" s="447"/>
      <c r="Z6" s="1631"/>
      <c r="AA6" s="3710" t="s">
        <v>936</v>
      </c>
      <c r="AB6" s="1631"/>
      <c r="AC6" s="1631"/>
      <c r="AD6" s="1631"/>
      <c r="AE6" s="1631"/>
      <c r="AF6" s="1631"/>
      <c r="AG6" s="1757"/>
      <c r="AH6" s="1757"/>
      <c r="AI6" s="1757"/>
      <c r="AJ6" s="1642"/>
    </row>
    <row r="7" spans="1:36" ht="15" customHeight="1">
      <c r="A7" s="492"/>
      <c r="B7" s="3175" t="s">
        <v>937</v>
      </c>
      <c r="C7" s="3176" t="s">
        <v>938</v>
      </c>
      <c r="D7" s="3544" t="s">
        <v>1910</v>
      </c>
      <c r="E7" s="3624" t="s">
        <v>1674</v>
      </c>
      <c r="F7" s="4323" t="s">
        <v>939</v>
      </c>
      <c r="G7" s="4324"/>
      <c r="H7" s="4324"/>
      <c r="I7" s="4324"/>
      <c r="J7" s="4324"/>
      <c r="K7" s="4324"/>
      <c r="L7" s="4324"/>
      <c r="M7" s="4324"/>
      <c r="N7" s="4324"/>
      <c r="O7" s="4324"/>
      <c r="P7" s="4324"/>
      <c r="Q7" s="4324"/>
      <c r="R7" s="4324"/>
      <c r="S7" s="4324"/>
      <c r="T7" s="4324"/>
      <c r="U7" s="4324"/>
      <c r="V7" s="4324"/>
      <c r="W7" s="4324"/>
      <c r="X7" s="4324"/>
      <c r="Y7" s="492"/>
      <c r="Z7" s="1631"/>
      <c r="AA7" s="1631"/>
      <c r="AB7" s="1631"/>
      <c r="AC7" s="1631"/>
      <c r="AD7" s="1631"/>
      <c r="AE7" s="1631"/>
      <c r="AF7" s="1631"/>
      <c r="AG7" s="1757"/>
      <c r="AH7" s="1757"/>
      <c r="AI7" s="1757"/>
      <c r="AJ7" s="1642"/>
    </row>
    <row r="8" spans="1:36" ht="15" customHeight="1">
      <c r="A8" s="492"/>
      <c r="B8" s="3694" t="s">
        <v>1916</v>
      </c>
      <c r="C8" s="3695">
        <v>23</v>
      </c>
      <c r="D8" s="3696">
        <f>C8</f>
        <v>23</v>
      </c>
      <c r="E8" s="3697">
        <f>D8</f>
        <v>23</v>
      </c>
      <c r="F8" s="4411" t="s">
        <v>940</v>
      </c>
      <c r="G8" s="4412"/>
      <c r="H8" s="4412"/>
      <c r="I8" s="4412"/>
      <c r="J8" s="4412"/>
      <c r="K8" s="4412"/>
      <c r="L8" s="4412"/>
      <c r="M8" s="4412"/>
      <c r="N8" s="4412"/>
      <c r="O8" s="4412"/>
      <c r="P8" s="4412"/>
      <c r="Q8" s="4412"/>
      <c r="R8" s="4412"/>
      <c r="S8" s="4412"/>
      <c r="T8" s="4412"/>
      <c r="U8" s="4412"/>
      <c r="V8" s="4412"/>
      <c r="W8" s="4412"/>
      <c r="X8" s="4412"/>
      <c r="Y8" s="492"/>
      <c r="Z8" s="1631"/>
      <c r="AA8" s="1631"/>
      <c r="AB8" s="1631"/>
      <c r="AC8" s="1631"/>
      <c r="AD8" s="1631"/>
      <c r="AE8" s="1631"/>
      <c r="AF8" s="1631"/>
      <c r="AG8" s="1757"/>
      <c r="AH8" s="1757"/>
      <c r="AI8" s="1757"/>
      <c r="AJ8" s="1642"/>
    </row>
    <row r="9" spans="1:36" ht="15" customHeight="1">
      <c r="A9" s="492"/>
      <c r="B9" s="3617" t="s">
        <v>1911</v>
      </c>
      <c r="C9" s="3690">
        <v>23</v>
      </c>
      <c r="D9" s="3691">
        <f>C9</f>
        <v>23</v>
      </c>
      <c r="E9" s="3692">
        <f>D9</f>
        <v>23</v>
      </c>
      <c r="F9" s="4411"/>
      <c r="G9" s="4412"/>
      <c r="H9" s="4412"/>
      <c r="I9" s="4412"/>
      <c r="J9" s="4412"/>
      <c r="K9" s="4412"/>
      <c r="L9" s="4412"/>
      <c r="M9" s="4412"/>
      <c r="N9" s="4412"/>
      <c r="O9" s="4412"/>
      <c r="P9" s="4412"/>
      <c r="Q9" s="4412"/>
      <c r="R9" s="4412"/>
      <c r="S9" s="4412"/>
      <c r="T9" s="4412"/>
      <c r="U9" s="4412"/>
      <c r="V9" s="4412"/>
      <c r="W9" s="4412"/>
      <c r="X9" s="4412"/>
      <c r="Y9" s="492"/>
      <c r="Z9" s="3704" t="s">
        <v>333</v>
      </c>
      <c r="AA9" s="1138" t="s">
        <v>334</v>
      </c>
      <c r="AB9" s="4325" t="s">
        <v>668</v>
      </c>
      <c r="AC9" s="4326"/>
      <c r="AD9" s="1138"/>
      <c r="AE9" s="4325" t="s">
        <v>669</v>
      </c>
      <c r="AF9" s="4325"/>
      <c r="AG9" s="1138" t="s">
        <v>334</v>
      </c>
      <c r="AH9" s="4327" t="s">
        <v>670</v>
      </c>
      <c r="AI9" s="4327"/>
      <c r="AJ9" s="1642"/>
    </row>
    <row r="10" spans="1:36" ht="15" customHeight="1">
      <c r="A10" s="492"/>
      <c r="B10" s="1139" t="s">
        <v>941</v>
      </c>
      <c r="C10" s="3721">
        <v>1500</v>
      </c>
      <c r="D10" s="3722">
        <v>1500</v>
      </c>
      <c r="E10" s="3723">
        <v>3000</v>
      </c>
      <c r="F10" s="4411"/>
      <c r="G10" s="4412"/>
      <c r="H10" s="4412"/>
      <c r="I10" s="4412"/>
      <c r="J10" s="4412"/>
      <c r="K10" s="4412"/>
      <c r="L10" s="4412"/>
      <c r="M10" s="4412"/>
      <c r="N10" s="4412"/>
      <c r="O10" s="4412"/>
      <c r="P10" s="4412"/>
      <c r="Q10" s="4412"/>
      <c r="R10" s="4412"/>
      <c r="S10" s="4412"/>
      <c r="T10" s="4412"/>
      <c r="U10" s="4412"/>
      <c r="V10" s="4412"/>
      <c r="W10" s="4412"/>
      <c r="X10" s="4412"/>
      <c r="Y10" s="492"/>
      <c r="Z10" s="527">
        <v>310</v>
      </c>
      <c r="AA10" s="1140">
        <f>$C$16/100</f>
        <v>0.75</v>
      </c>
      <c r="AB10" s="527">
        <f t="shared" ref="AB10:AB15" si="0">$Z10*C10</f>
        <v>465000</v>
      </c>
      <c r="AC10" s="358">
        <f>AA10*$AB10</f>
        <v>348750</v>
      </c>
      <c r="AD10" s="1140">
        <f>$D$16/100</f>
        <v>0.75</v>
      </c>
      <c r="AE10" s="527">
        <f>$Z10*D10</f>
        <v>465000</v>
      </c>
      <c r="AF10" s="358">
        <f>AD10*$AE10</f>
        <v>348750</v>
      </c>
      <c r="AG10" s="1140">
        <f>$E$16/100</f>
        <v>0.75</v>
      </c>
      <c r="AH10" s="527">
        <f>$Z10*E10</f>
        <v>930000</v>
      </c>
      <c r="AI10" s="358">
        <f>AG10*AH10</f>
        <v>697500</v>
      </c>
      <c r="AJ10" s="1642"/>
    </row>
    <row r="11" spans="1:36" ht="15" customHeight="1">
      <c r="A11" s="492"/>
      <c r="B11" s="1141" t="s">
        <v>942</v>
      </c>
      <c r="C11" s="3676">
        <v>0</v>
      </c>
      <c r="D11" s="3677">
        <f t="shared" ref="D11:D17" si="1">C11</f>
        <v>0</v>
      </c>
      <c r="E11" s="3678">
        <v>0</v>
      </c>
      <c r="F11" s="4411"/>
      <c r="G11" s="4412"/>
      <c r="H11" s="4412"/>
      <c r="I11" s="4412"/>
      <c r="J11" s="4412"/>
      <c r="K11" s="4412"/>
      <c r="L11" s="4412"/>
      <c r="M11" s="4412"/>
      <c r="N11" s="4412"/>
      <c r="O11" s="4412"/>
      <c r="P11" s="4412"/>
      <c r="Q11" s="4412"/>
      <c r="R11" s="4412"/>
      <c r="S11" s="4412"/>
      <c r="T11" s="4412"/>
      <c r="U11" s="4412"/>
      <c r="V11" s="4412"/>
      <c r="W11" s="4412"/>
      <c r="X11" s="4412"/>
      <c r="Y11" s="492"/>
      <c r="Z11" s="527">
        <v>365</v>
      </c>
      <c r="AA11" s="1140">
        <f>$C$16/100</f>
        <v>0.75</v>
      </c>
      <c r="AB11" s="527">
        <f t="shared" si="0"/>
        <v>0</v>
      </c>
      <c r="AC11" s="358">
        <f>AA11*$AB11</f>
        <v>0</v>
      </c>
      <c r="AD11" s="1140">
        <f>$D$16/100</f>
        <v>0.75</v>
      </c>
      <c r="AE11" s="527">
        <f t="shared" ref="AE11:AE15" si="2">$Z11*D11</f>
        <v>0</v>
      </c>
      <c r="AF11" s="358">
        <f>AD11*$AE11</f>
        <v>0</v>
      </c>
      <c r="AG11" s="1140">
        <f>$E$16/100</f>
        <v>0.75</v>
      </c>
      <c r="AH11" s="527">
        <f>$Z11*E11</f>
        <v>0</v>
      </c>
      <c r="AI11" s="358">
        <f>AG11*$AH11</f>
        <v>0</v>
      </c>
      <c r="AJ11" s="1642"/>
    </row>
    <row r="12" spans="1:36" ht="15" customHeight="1">
      <c r="A12" s="492"/>
      <c r="B12" s="3177" t="s">
        <v>943</v>
      </c>
      <c r="C12" s="3724">
        <v>0</v>
      </c>
      <c r="D12" s="3725">
        <f t="shared" si="1"/>
        <v>0</v>
      </c>
      <c r="E12" s="3726">
        <f>D12</f>
        <v>0</v>
      </c>
      <c r="F12" s="4411"/>
      <c r="G12" s="4412"/>
      <c r="H12" s="4412"/>
      <c r="I12" s="4412"/>
      <c r="J12" s="4412"/>
      <c r="K12" s="4412"/>
      <c r="L12" s="4412"/>
      <c r="M12" s="4412"/>
      <c r="N12" s="4412"/>
      <c r="O12" s="4412"/>
      <c r="P12" s="4412"/>
      <c r="Q12" s="4412"/>
      <c r="R12" s="4412"/>
      <c r="S12" s="4412"/>
      <c r="T12" s="4412"/>
      <c r="U12" s="4412"/>
      <c r="V12" s="4412"/>
      <c r="W12" s="4412"/>
      <c r="X12" s="4412"/>
      <c r="Y12" s="492"/>
      <c r="Z12" s="527">
        <v>310</v>
      </c>
      <c r="AA12" s="1140">
        <f>$C$16/100</f>
        <v>0.75</v>
      </c>
      <c r="AB12" s="527">
        <f t="shared" si="0"/>
        <v>0</v>
      </c>
      <c r="AC12" s="358">
        <f>AA12*$AB12</f>
        <v>0</v>
      </c>
      <c r="AD12" s="1140">
        <f>$D$16/100</f>
        <v>0.75</v>
      </c>
      <c r="AE12" s="527">
        <f t="shared" si="2"/>
        <v>0</v>
      </c>
      <c r="AF12" s="358">
        <f>AD12*$AE12</f>
        <v>0</v>
      </c>
      <c r="AG12" s="1140">
        <f>$E$16/100</f>
        <v>0.75</v>
      </c>
      <c r="AH12" s="527">
        <f>$Z12*G12</f>
        <v>0</v>
      </c>
      <c r="AI12" s="358">
        <f>AG12*$AH12</f>
        <v>0</v>
      </c>
      <c r="AJ12" s="1642"/>
    </row>
    <row r="13" spans="1:36" ht="15" customHeight="1">
      <c r="A13" s="492"/>
      <c r="B13" s="3177" t="s">
        <v>944</v>
      </c>
      <c r="C13" s="3724">
        <v>0</v>
      </c>
      <c r="D13" s="3725">
        <f t="shared" si="1"/>
        <v>0</v>
      </c>
      <c r="E13" s="3726">
        <f t="shared" ref="E13:E15" si="3">D13</f>
        <v>0</v>
      </c>
      <c r="F13" s="3674"/>
      <c r="G13" s="3620"/>
      <c r="H13" s="3620"/>
      <c r="I13" s="3620"/>
      <c r="J13" s="3620"/>
      <c r="K13" s="4413" t="s">
        <v>945</v>
      </c>
      <c r="L13" s="4413"/>
      <c r="M13" s="4413"/>
      <c r="N13" s="4413"/>
      <c r="O13" s="4414" t="s">
        <v>946</v>
      </c>
      <c r="P13" s="4414"/>
      <c r="Q13" s="4414"/>
      <c r="R13" s="4414"/>
      <c r="S13" s="4414"/>
      <c r="T13" s="4414"/>
      <c r="U13" s="3620"/>
      <c r="V13" s="1142"/>
      <c r="W13" s="1142"/>
      <c r="X13" s="1142"/>
      <c r="Y13" s="447"/>
      <c r="Z13" s="527">
        <v>365</v>
      </c>
      <c r="AA13" s="1140">
        <f>$C$16/100</f>
        <v>0.75</v>
      </c>
      <c r="AB13" s="527">
        <f t="shared" si="0"/>
        <v>0</v>
      </c>
      <c r="AC13" s="358">
        <f>AA13*$AB13</f>
        <v>0</v>
      </c>
      <c r="AD13" s="1140">
        <f>$D$16/100</f>
        <v>0.75</v>
      </c>
      <c r="AE13" s="527">
        <f t="shared" si="2"/>
        <v>0</v>
      </c>
      <c r="AF13" s="358">
        <f>AD13*$AE13</f>
        <v>0</v>
      </c>
      <c r="AG13" s="1140">
        <f>$E$16/100</f>
        <v>0.75</v>
      </c>
      <c r="AH13" s="527">
        <f>$Z13*E13</f>
        <v>0</v>
      </c>
      <c r="AI13" s="358">
        <f>AG13*$AH13</f>
        <v>0</v>
      </c>
      <c r="AJ13" s="1642"/>
    </row>
    <row r="14" spans="1:36" ht="15" customHeight="1">
      <c r="A14" s="492"/>
      <c r="B14" s="3179" t="s">
        <v>1707</v>
      </c>
      <c r="C14" s="3724">
        <v>1000</v>
      </c>
      <c r="D14" s="3725">
        <f t="shared" si="1"/>
        <v>1000</v>
      </c>
      <c r="E14" s="3726"/>
      <c r="F14" s="447"/>
      <c r="G14" s="447"/>
      <c r="H14" s="447"/>
      <c r="I14" s="447"/>
      <c r="J14" s="447"/>
      <c r="K14" s="447"/>
      <c r="L14" s="447"/>
      <c r="M14" s="447"/>
      <c r="N14" s="447"/>
      <c r="O14" s="447"/>
      <c r="P14" s="447"/>
      <c r="Q14" s="447"/>
      <c r="R14" s="447"/>
      <c r="S14" s="447"/>
      <c r="T14" s="447"/>
      <c r="U14" s="447"/>
      <c r="V14" s="1142"/>
      <c r="W14" s="1142"/>
      <c r="X14" s="1142"/>
      <c r="Y14" s="447"/>
      <c r="Z14" s="358">
        <v>375</v>
      </c>
      <c r="AA14" s="3625">
        <v>1</v>
      </c>
      <c r="AB14" s="527">
        <f t="shared" si="0"/>
        <v>375000</v>
      </c>
      <c r="AC14" s="358">
        <f>AA14*$AB14</f>
        <v>375000</v>
      </c>
      <c r="AD14" s="3625">
        <v>1</v>
      </c>
      <c r="AE14" s="527">
        <f t="shared" si="2"/>
        <v>375000</v>
      </c>
      <c r="AF14" s="358">
        <f>AD14*$AE14</f>
        <v>375000</v>
      </c>
      <c r="AG14" s="3625">
        <v>1</v>
      </c>
      <c r="AH14" s="527">
        <f>$Z14*E14</f>
        <v>0</v>
      </c>
      <c r="AI14" s="358">
        <f>AG14*$AH14</f>
        <v>0</v>
      </c>
      <c r="AJ14" s="1642"/>
    </row>
    <row r="15" spans="1:36" ht="15" customHeight="1">
      <c r="A15" s="492"/>
      <c r="B15" s="3179" t="s">
        <v>1812</v>
      </c>
      <c r="C15" s="3724">
        <v>0</v>
      </c>
      <c r="D15" s="3725">
        <f t="shared" si="1"/>
        <v>0</v>
      </c>
      <c r="E15" s="3726">
        <f t="shared" si="3"/>
        <v>0</v>
      </c>
      <c r="F15" s="1143"/>
      <c r="G15" s="1143"/>
      <c r="H15" s="1143"/>
      <c r="I15" s="1143"/>
      <c r="J15" s="1143"/>
      <c r="K15" s="514"/>
      <c r="L15" s="514"/>
      <c r="M15" s="2057"/>
      <c r="N15" s="2057"/>
      <c r="O15" s="2057"/>
      <c r="P15" s="2057"/>
      <c r="Q15" s="2057"/>
      <c r="R15" s="2057"/>
      <c r="S15" s="3626"/>
      <c r="T15" s="3627"/>
      <c r="U15" s="3627"/>
      <c r="V15" s="1142"/>
      <c r="W15" s="1142"/>
      <c r="X15" s="1142"/>
      <c r="Y15" s="447"/>
      <c r="Z15" s="1144">
        <v>319</v>
      </c>
      <c r="AA15" s="3628">
        <v>0.8</v>
      </c>
      <c r="AB15" s="1145">
        <f t="shared" si="0"/>
        <v>0</v>
      </c>
      <c r="AC15" s="1144"/>
      <c r="AD15" s="3628">
        <v>0.8</v>
      </c>
      <c r="AE15" s="1146">
        <f t="shared" si="2"/>
        <v>0</v>
      </c>
      <c r="AF15" s="542"/>
      <c r="AG15" s="3628">
        <v>0.8</v>
      </c>
      <c r="AH15" s="1145">
        <f>$Z15*E15</f>
        <v>0</v>
      </c>
      <c r="AI15" s="1144"/>
      <c r="AJ15" s="1642"/>
    </row>
    <row r="16" spans="1:36" ht="15" customHeight="1">
      <c r="A16" s="492"/>
      <c r="B16" s="3688" t="s">
        <v>1914</v>
      </c>
      <c r="C16" s="3727">
        <v>75</v>
      </c>
      <c r="D16" s="3728">
        <f t="shared" si="1"/>
        <v>75</v>
      </c>
      <c r="E16" s="3729">
        <f>C16</f>
        <v>75</v>
      </c>
      <c r="F16" s="4339" t="str">
        <f>"= "&amp;FIXED((100*(1-((C27-1000)/(C26-1000)))),1)&amp;" / "&amp;FIXED((100*(1-((D27-1000)/(D26-1000)))),1)&amp;" / "&amp;FIXED((100*(1-((E27-1000)/(E26-1000)))),1)&amp;"%  Apparent Attenuation    &amp;   "&amp;FIXED(100*(1-(((0.1808*(C26-1000))+(0.8192*(C27-1000)))/(C26-1000))),1)&amp;" / "&amp;FIXED(100*(1-(((0.1808*(D26-1000))+(0.8192*(D27-1000)))/(D26-1000))),1)&amp;" / "&amp;FIXED(100*(1-(((0.1808*(E26-1000))+(0.8192*(E27-1000)))/(E26-1000))),1)&amp;"%  Real Attenuation, both unprimed."</f>
        <v>= 89.7 / 89.7 / 75.0%  Apparent Attenuation    &amp;   73.5 / 73.5 / 61.4%  Real Attenuation, both unprimed.</v>
      </c>
      <c r="G16" s="4340"/>
      <c r="H16" s="4340"/>
      <c r="I16" s="4340"/>
      <c r="J16" s="4340"/>
      <c r="K16" s="4340"/>
      <c r="L16" s="4340"/>
      <c r="M16" s="4340"/>
      <c r="N16" s="4340"/>
      <c r="O16" s="4340"/>
      <c r="P16" s="4340"/>
      <c r="Q16" s="514"/>
      <c r="R16" s="514"/>
      <c r="S16" s="1142"/>
      <c r="T16" s="1142"/>
      <c r="U16" s="1142"/>
      <c r="V16" s="1142"/>
      <c r="W16" s="1142"/>
      <c r="X16" s="1142"/>
      <c r="Y16" s="447"/>
      <c r="Z16" s="1146">
        <v>375</v>
      </c>
      <c r="AA16" s="542" t="s">
        <v>209</v>
      </c>
      <c r="AB16" s="1146">
        <f>Z16*C29*C9</f>
        <v>40753.124999999993</v>
      </c>
      <c r="AC16" s="542"/>
      <c r="AD16" s="3629"/>
      <c r="AE16" s="1146">
        <f>Z16*D29*D9</f>
        <v>40753.124999999993</v>
      </c>
      <c r="AF16" s="1146"/>
      <c r="AG16" s="542" t="s">
        <v>209</v>
      </c>
      <c r="AH16" s="1146">
        <f>Z16*E29*E9</f>
        <v>40753.124999999993</v>
      </c>
      <c r="AI16" s="542"/>
      <c r="AJ16" s="1642"/>
    </row>
    <row r="17" spans="1:36" ht="15" customHeight="1">
      <c r="A17" s="492"/>
      <c r="B17" s="3693" t="s">
        <v>1915</v>
      </c>
      <c r="C17" s="3730">
        <v>0</v>
      </c>
      <c r="D17" s="3731">
        <f t="shared" si="1"/>
        <v>0</v>
      </c>
      <c r="E17" s="3732">
        <v>0</v>
      </c>
      <c r="F17" s="3679"/>
      <c r="G17" s="564"/>
      <c r="H17" s="564"/>
      <c r="I17" s="564"/>
      <c r="J17" s="564"/>
      <c r="K17" s="564"/>
      <c r="L17" s="564"/>
      <c r="M17" s="564"/>
      <c r="N17" s="564"/>
      <c r="O17" s="564"/>
      <c r="P17" s="564"/>
      <c r="Q17" s="564"/>
      <c r="R17" s="4328" t="s">
        <v>948</v>
      </c>
      <c r="S17" s="4328"/>
      <c r="T17" s="4328"/>
      <c r="U17" s="4328"/>
      <c r="V17" s="4328"/>
      <c r="W17" s="1142"/>
      <c r="X17" s="1142"/>
      <c r="Y17" s="447"/>
      <c r="Z17" s="1146"/>
      <c r="AA17" s="542"/>
      <c r="AB17" s="1146"/>
      <c r="AC17" s="542"/>
      <c r="AD17" s="70"/>
      <c r="AE17" s="1146"/>
      <c r="AF17" s="1146"/>
      <c r="AG17" s="542"/>
      <c r="AH17" s="1146"/>
      <c r="AI17" s="542"/>
      <c r="AJ17" s="1642"/>
    </row>
    <row r="18" spans="1:36" ht="15" customHeight="1">
      <c r="A18" s="492"/>
      <c r="B18" s="3686" t="str">
        <f>"For "&amp;FIXED(C9)&amp;" litres ( cells C9, D9 &amp; E9)"</f>
        <v>For 23.00 litres ( cells C9, D9 &amp; E9)</v>
      </c>
      <c r="C18" s="3680">
        <f>C17*C8/C9</f>
        <v>0</v>
      </c>
      <c r="D18" s="3681">
        <f>D17*D8/D9</f>
        <v>0</v>
      </c>
      <c r="E18" s="3682">
        <f>E17*E8/E9</f>
        <v>0</v>
      </c>
      <c r="F18" s="3619"/>
      <c r="G18" s="2059"/>
      <c r="H18" s="2059"/>
      <c r="I18" s="2059"/>
      <c r="J18" s="2059"/>
      <c r="K18" s="1636"/>
      <c r="L18" s="1636"/>
      <c r="M18" s="2481"/>
      <c r="N18" s="1362"/>
      <c r="O18" s="1362"/>
      <c r="P18" s="1362"/>
      <c r="Q18" s="1362"/>
      <c r="R18" s="3622"/>
      <c r="S18" s="3622"/>
      <c r="T18" s="3622"/>
      <c r="U18" s="3622"/>
      <c r="V18" s="1142"/>
      <c r="W18" s="1142"/>
      <c r="X18" s="1142"/>
      <c r="Y18" s="447"/>
      <c r="Z18" s="533"/>
      <c r="AA18" s="533"/>
      <c r="AB18" s="533"/>
      <c r="AC18" s="533"/>
      <c r="AD18" s="4317" t="s">
        <v>947</v>
      </c>
      <c r="AE18" s="4317"/>
      <c r="AF18" s="4317"/>
      <c r="AG18" s="533"/>
      <c r="AH18" s="533"/>
      <c r="AI18" s="533"/>
      <c r="AJ18" s="1642"/>
    </row>
    <row r="19" spans="1:36" ht="15" customHeight="1">
      <c r="A19" s="492"/>
      <c r="B19" s="3689" t="s">
        <v>1912</v>
      </c>
      <c r="C19" s="3181">
        <v>0</v>
      </c>
      <c r="D19" s="3618">
        <f>C19</f>
        <v>0</v>
      </c>
      <c r="E19" s="3551">
        <f>D19</f>
        <v>0</v>
      </c>
      <c r="F19" s="2058"/>
      <c r="G19" s="2059"/>
      <c r="H19" s="2059"/>
      <c r="I19" s="2059"/>
      <c r="J19" s="2059"/>
      <c r="K19" s="1634"/>
      <c r="L19" s="1634"/>
      <c r="M19" s="344"/>
      <c r="N19" s="447"/>
      <c r="O19" s="447"/>
      <c r="P19" s="447"/>
      <c r="Q19" s="447"/>
      <c r="R19" s="3622"/>
      <c r="S19" s="3622"/>
      <c r="T19" s="3622"/>
      <c r="U19" s="3622"/>
      <c r="V19" s="1142"/>
      <c r="W19" s="1142"/>
      <c r="X19" s="1142"/>
      <c r="Y19" s="447"/>
      <c r="Z19" s="533"/>
      <c r="AA19" s="533"/>
      <c r="AB19" s="533"/>
      <c r="AC19" s="533"/>
      <c r="AD19" s="3703"/>
      <c r="AE19" s="3703"/>
      <c r="AF19" s="3703"/>
      <c r="AG19" s="533"/>
      <c r="AH19" s="533"/>
      <c r="AI19" s="533"/>
      <c r="AJ19" s="1642"/>
    </row>
    <row r="20" spans="1:36" ht="15" customHeight="1">
      <c r="A20" s="492"/>
      <c r="B20" s="3687" t="str">
        <f>"For "&amp;FIXED(C9)&amp;" litres (cells C9, D9 &amp; E9)"</f>
        <v>For 23.00 litres (cells C9, D9 &amp; E9)</v>
      </c>
      <c r="C20" s="3718">
        <f>C19*C8/C9</f>
        <v>0</v>
      </c>
      <c r="D20" s="3719">
        <f>D19*D8/D9</f>
        <v>0</v>
      </c>
      <c r="E20" s="3720">
        <f>E19*E8/E9</f>
        <v>0</v>
      </c>
      <c r="F20" s="1661"/>
      <c r="G20" s="1662"/>
      <c r="H20" s="1663"/>
      <c r="I20" s="514"/>
      <c r="J20" s="1640"/>
      <c r="K20" s="1640"/>
      <c r="L20" s="1640"/>
      <c r="M20" s="1758"/>
      <c r="N20" s="1758"/>
      <c r="O20" s="1636"/>
      <c r="P20" s="447"/>
      <c r="Q20" s="447"/>
      <c r="R20" s="3622"/>
      <c r="S20" s="3622"/>
      <c r="T20" s="3622"/>
      <c r="U20" s="3622"/>
      <c r="V20" s="1142"/>
      <c r="W20" s="1142"/>
      <c r="X20" s="1142"/>
      <c r="Y20" s="447"/>
      <c r="Z20" s="3630" t="s">
        <v>788</v>
      </c>
      <c r="AA20" s="3631">
        <f>89.6/342</f>
        <v>0.26198830409356721</v>
      </c>
      <c r="AB20" s="3632" t="s">
        <v>191</v>
      </c>
      <c r="AC20" s="746">
        <f>(SUM(AC10:AC13))/(1000*C9)</f>
        <v>15.163043478260869</v>
      </c>
      <c r="AD20" s="1147"/>
      <c r="AE20" s="1148" t="s">
        <v>191</v>
      </c>
      <c r="AF20" s="746">
        <f>(SUM(AF10:AF13))/(1000*D9)</f>
        <v>15.163043478260869</v>
      </c>
      <c r="AG20" s="533"/>
      <c r="AH20" s="3632" t="s">
        <v>191</v>
      </c>
      <c r="AI20" s="746">
        <f>(SUM(AI10:AI13))/(1000*E9)</f>
        <v>30.326086956521738</v>
      </c>
      <c r="AJ20" s="1642"/>
    </row>
    <row r="21" spans="1:36" ht="15" customHeight="1">
      <c r="A21" s="492"/>
      <c r="B21" s="3621" t="s">
        <v>949</v>
      </c>
      <c r="C21" s="3183">
        <v>0</v>
      </c>
      <c r="D21" s="3545">
        <f>C21</f>
        <v>0</v>
      </c>
      <c r="E21" s="3552">
        <f>D21</f>
        <v>0</v>
      </c>
      <c r="F21" s="4318" t="str">
        <f>"ml = "&amp;FIXED(C21/5)&amp;" ̸ "&amp;FIXED(D21/5)&amp;" ̸ "&amp;FIXED(E21/5)&amp;" tsp. ‡"</f>
        <v>ml = 0.00 ̸ 0.00 ̸ 0.00 tsp. ‡</v>
      </c>
      <c r="G21" s="4319"/>
      <c r="H21" s="4319"/>
      <c r="I21" s="4319"/>
      <c r="J21" s="3633"/>
      <c r="K21" s="3633"/>
      <c r="L21" s="3633"/>
      <c r="M21" s="3634"/>
      <c r="N21" s="3634"/>
      <c r="O21" s="1142"/>
      <c r="P21" s="1142"/>
      <c r="Q21" s="1142"/>
      <c r="R21" s="1866"/>
      <c r="S21" s="1759"/>
      <c r="T21" s="1142"/>
      <c r="U21" s="1142"/>
      <c r="V21" s="1142"/>
      <c r="W21" s="1142"/>
      <c r="X21" s="1142"/>
      <c r="Y21" s="447"/>
      <c r="Z21" s="3635" t="s">
        <v>198</v>
      </c>
      <c r="AA21" s="3636" t="s">
        <v>199</v>
      </c>
      <c r="AB21" s="3632" t="s">
        <v>194</v>
      </c>
      <c r="AC21" s="1149">
        <f>(1.079*0.375*(C14+0.68*C15+C29*C9)/C9)</f>
        <v>19.504244429347828</v>
      </c>
      <c r="AD21" s="1147"/>
      <c r="AE21" s="1148" t="s">
        <v>194</v>
      </c>
      <c r="AF21" s="1149">
        <f>(1.079*0.375*(D14+D15*0.68+D29*D9)/D9)</f>
        <v>19.504244429347828</v>
      </c>
      <c r="AG21" s="533"/>
      <c r="AH21" s="3632" t="s">
        <v>194</v>
      </c>
      <c r="AI21" s="1149">
        <f>(1.079*0.375*(E14+0.68*E15+E29*E9)/E9)</f>
        <v>1.9118531250000002</v>
      </c>
      <c r="AJ21" s="1642"/>
    </row>
    <row r="22" spans="1:36" ht="15" customHeight="1">
      <c r="A22" s="492"/>
      <c r="B22" s="3675" t="s">
        <v>1913</v>
      </c>
      <c r="C22" s="3184" t="str">
        <f>(FIXED((C18+R22),1))&amp;" ̸ "&amp;FIXED(C21*P22*L22/(L22*C9),1)</f>
        <v>0.0 ̸ 0.0</v>
      </c>
      <c r="D22" s="3637" t="str">
        <f>FIXED((D18+R23),1)&amp;" ̸ "&amp;FIXED(D21*P22*L22/(L22*D9),1)</f>
        <v>0.0 ̸ 0.0</v>
      </c>
      <c r="E22" s="3553" t="str">
        <f>FIXED((E18+R24),1)&amp;" ̸ "&amp;FIXED(E21*P22*L22/(L22*E9),1)</f>
        <v>0.0 ̸ 0.0</v>
      </c>
      <c r="F22" s="4329" t="s">
        <v>950</v>
      </c>
      <c r="G22" s="4329"/>
      <c r="H22" s="2858">
        <v>1</v>
      </c>
      <c r="I22" s="4330" t="s">
        <v>228</v>
      </c>
      <c r="J22" s="4330"/>
      <c r="K22" s="4330"/>
      <c r="L22" s="2858">
        <v>1</v>
      </c>
      <c r="M22" s="4330" t="s">
        <v>951</v>
      </c>
      <c r="N22" s="4330"/>
      <c r="O22" s="4330"/>
      <c r="P22" s="2858">
        <v>69</v>
      </c>
      <c r="Q22" s="3202" t="s">
        <v>229</v>
      </c>
      <c r="R22" s="3713">
        <f>C21*P22*L22/(H22*C9)</f>
        <v>0</v>
      </c>
      <c r="S22" s="1759"/>
      <c r="T22" s="1142"/>
      <c r="U22" s="1142"/>
      <c r="V22" s="1142"/>
      <c r="W22" s="1142"/>
      <c r="X22" s="1142"/>
      <c r="Y22" s="447"/>
      <c r="Z22" s="3638" t="s">
        <v>205</v>
      </c>
      <c r="AA22" s="3639" t="s">
        <v>206</v>
      </c>
      <c r="AB22" s="1150" t="s">
        <v>349</v>
      </c>
      <c r="AC22" s="746">
        <f>1000+(C14*375+SUM(AB10:AB16)-AB14)/(1000*C9)</f>
        <v>1038.2936141304349</v>
      </c>
      <c r="AD22" s="1147"/>
      <c r="AE22" s="1148" t="s">
        <v>349</v>
      </c>
      <c r="AF22" s="746">
        <f>1000+(D14*375+SUM(AE10:AE16)-AE14)/(1000*D9)</f>
        <v>1038.2936141304349</v>
      </c>
      <c r="AG22" s="533"/>
      <c r="AH22" s="1150" t="s">
        <v>349</v>
      </c>
      <c r="AI22" s="746">
        <f>1000+(E14*375+SUM(AH10:AH16)-AH14)/(1000*E9)</f>
        <v>1042.2066576086957</v>
      </c>
      <c r="AJ22" s="1642"/>
    </row>
    <row r="23" spans="1:36" ht="15" customHeight="1">
      <c r="A23" s="492"/>
      <c r="B23" s="3185" t="s">
        <v>952</v>
      </c>
      <c r="C23" s="3186">
        <f>(C20+R22)/(C31-1000)</f>
        <v>0</v>
      </c>
      <c r="D23" s="3640">
        <f>(D20+R23)/(D31-1000)</f>
        <v>0</v>
      </c>
      <c r="E23" s="3554">
        <f>(E20+R24)/(E31-1000)</f>
        <v>0</v>
      </c>
      <c r="F23" s="4331" t="s">
        <v>953</v>
      </c>
      <c r="G23" s="4332"/>
      <c r="H23" s="4332"/>
      <c r="I23" s="4332"/>
      <c r="J23" s="4332"/>
      <c r="K23" s="4332"/>
      <c r="L23" s="4332"/>
      <c r="M23" s="4332"/>
      <c r="N23" s="4332"/>
      <c r="O23" s="4332"/>
      <c r="P23" s="4332"/>
      <c r="Q23" s="4332"/>
      <c r="R23" s="3714">
        <f>D21*P22*L22/(H22*D9)</f>
        <v>0</v>
      </c>
      <c r="S23" s="1759"/>
      <c r="T23" s="1142"/>
      <c r="U23" s="1142"/>
      <c r="V23" s="1142"/>
      <c r="W23" s="1142"/>
      <c r="X23" s="1142"/>
      <c r="Y23" s="447"/>
      <c r="Z23" s="2625">
        <v>0</v>
      </c>
      <c r="AA23" s="2810">
        <v>1.7130000000000001</v>
      </c>
      <c r="AB23" s="1150" t="s">
        <v>354</v>
      </c>
      <c r="AC23" s="746">
        <f>(AC22-AC20-AC21)</f>
        <v>1003.6263262228262</v>
      </c>
      <c r="AD23" s="1147"/>
      <c r="AE23" s="1148" t="s">
        <v>354</v>
      </c>
      <c r="AF23" s="746">
        <f>(AF22-AF20-AF21)</f>
        <v>1003.6263262228262</v>
      </c>
      <c r="AG23" s="533"/>
      <c r="AH23" s="1150" t="s">
        <v>354</v>
      </c>
      <c r="AI23" s="746">
        <f>(AI22-AI20-AI21)</f>
        <v>1009.9687175271739</v>
      </c>
      <c r="AJ23" s="1642"/>
    </row>
    <row r="24" spans="1:36" ht="15" customHeight="1">
      <c r="A24" s="492"/>
      <c r="B24" s="3187" t="s">
        <v>1861</v>
      </c>
      <c r="C24" s="4333" t="str">
        <f>IF(C19=0,"Cell C19 is Empty",IF(C23&gt;0.81,"Too Hoppy?",IF(C23&gt;0.65,"Very Hoppy",IF(C23&gt;0.55,"Slightly Hoppy",IF(C23&gt;0.45,"Balanced",IF(C23&gt;0.35,"Slightly Malty",IF(C23&gt;0.25,"Very Malty",IF(C23&gt;0,"Too Malty?"))))))))</f>
        <v>Cell C19 is Empty</v>
      </c>
      <c r="D24" s="4335" t="str">
        <f>IF(D19=0,"Cell D19 is Empty",IF(D23&gt;0.81,"Too Hoppy?",IF(D23&gt;0.65,"Very Hoppy",IF(D23&gt;0.55,"Slightly Hoppy",IF(D23&gt;0.45,"Balanced",IF(D23&gt;0.35,"Slightly Malty",IF(D23&gt;0.25,"Very Malty",IF(D23&gt;0,"Too Malty?"))))))))</f>
        <v>Cell D19 is Empty</v>
      </c>
      <c r="E24" s="4337" t="str">
        <f>IF(E19=0,"Cell E19 is Empty",IF(E23&gt;0.81,"Too Hoppy?",IF(E23&gt;0.65,"Very Hoppy",IF(E23&gt;0.55,"Slightly Hoppy",IF(E23&gt;0.45,"Balanced",IF(E23&gt;0.35,"Slightly Malty",IF(E23&gt;0.25,"Very Malty",IF(E23&gt;0,"Too Malty?"))))))))</f>
        <v>Cell E19 is Empty</v>
      </c>
      <c r="F24" s="1151"/>
      <c r="G24" s="1897"/>
      <c r="H24" s="1152"/>
      <c r="I24" s="1638"/>
      <c r="J24" s="1638"/>
      <c r="K24" s="1638"/>
      <c r="L24" s="1638"/>
      <c r="M24" s="1638"/>
      <c r="N24" s="1638"/>
      <c r="O24" s="1638"/>
      <c r="P24" s="1638"/>
      <c r="Q24" s="1638"/>
      <c r="R24" s="3714">
        <f>E21*P22*L22/(H22*E9)</f>
        <v>0</v>
      </c>
      <c r="S24" s="1759"/>
      <c r="T24" s="1142"/>
      <c r="U24" s="1142"/>
      <c r="V24" s="1142"/>
      <c r="W24" s="1142"/>
      <c r="X24" s="1142"/>
      <c r="Y24" s="447"/>
      <c r="Z24" s="2625">
        <v>1</v>
      </c>
      <c r="AA24" s="2810">
        <v>1.6459999999999999</v>
      </c>
      <c r="AB24" s="1154" t="s">
        <v>207</v>
      </c>
      <c r="AC24" s="1124"/>
      <c r="AD24" s="1124"/>
      <c r="AE24" s="542"/>
      <c r="AF24" s="542"/>
      <c r="AG24" s="533"/>
      <c r="AH24" s="1153" t="s">
        <v>207</v>
      </c>
      <c r="AI24" s="1124"/>
      <c r="AJ24" s="1642"/>
    </row>
    <row r="25" spans="1:36" ht="15" customHeight="1">
      <c r="A25" s="492"/>
      <c r="B25" s="3698" t="s">
        <v>1909</v>
      </c>
      <c r="C25" s="4334"/>
      <c r="D25" s="4336"/>
      <c r="E25" s="4338"/>
      <c r="F25" s="1151"/>
      <c r="G25" s="1897"/>
      <c r="H25" s="1152"/>
      <c r="I25" s="1638"/>
      <c r="J25" s="1638"/>
      <c r="K25" s="1638"/>
      <c r="L25" s="1638"/>
      <c r="M25" s="1638"/>
      <c r="N25" s="1638"/>
      <c r="O25" s="2063"/>
      <c r="P25" s="2063"/>
      <c r="Q25" s="2063"/>
      <c r="R25" s="2063"/>
      <c r="S25" s="2063"/>
      <c r="T25" s="2063"/>
      <c r="U25" s="1142"/>
      <c r="V25" s="1142"/>
      <c r="W25" s="1142"/>
      <c r="X25" s="1142"/>
      <c r="Y25" s="447"/>
      <c r="Z25" s="2625">
        <v>2</v>
      </c>
      <c r="AA25" s="2811">
        <v>1.5840000000000001</v>
      </c>
      <c r="AB25" s="1154"/>
      <c r="AC25" s="1124"/>
      <c r="AD25" s="1124"/>
      <c r="AE25" s="542"/>
      <c r="AF25" s="542"/>
      <c r="AG25" s="533"/>
      <c r="AH25" s="1154"/>
      <c r="AI25" s="1124"/>
      <c r="AJ25" s="1642"/>
    </row>
    <row r="26" spans="1:36" ht="15" customHeight="1">
      <c r="A26" s="492"/>
      <c r="B26" s="1155" t="s">
        <v>954</v>
      </c>
      <c r="C26" s="3188">
        <f>AC33</f>
        <v>1036.5217391304348</v>
      </c>
      <c r="D26" s="3641">
        <f>AF33</f>
        <v>1036.5217391304348</v>
      </c>
      <c r="E26" s="3555">
        <f>AI33</f>
        <v>1040.4347826086957</v>
      </c>
      <c r="F26" s="4348" t="s">
        <v>955</v>
      </c>
      <c r="G26" s="4349"/>
      <c r="H26" s="4349"/>
      <c r="I26" s="4349"/>
      <c r="J26" s="4349"/>
      <c r="K26" s="4349"/>
      <c r="L26" s="4349"/>
      <c r="M26" s="4349"/>
      <c r="N26" s="4349"/>
      <c r="O26" s="4349"/>
      <c r="P26" s="4349"/>
      <c r="Q26" s="4349"/>
      <c r="R26" s="4349"/>
      <c r="S26" s="4349"/>
      <c r="T26" s="4349"/>
      <c r="U26" s="4349"/>
      <c r="V26" s="4349"/>
      <c r="W26" s="4349"/>
      <c r="X26" s="4349"/>
      <c r="Y26" s="447"/>
      <c r="Z26" s="2625">
        <v>3</v>
      </c>
      <c r="AA26" s="2811">
        <v>1.53</v>
      </c>
      <c r="AB26" s="1154"/>
      <c r="AC26" s="1124"/>
      <c r="AD26" s="1124"/>
      <c r="AE26" s="542"/>
      <c r="AF26" s="542"/>
      <c r="AG26" s="533"/>
      <c r="AH26" s="1154"/>
      <c r="AI26" s="1124"/>
      <c r="AJ26" s="1642"/>
    </row>
    <row r="27" spans="1:36" ht="15" customHeight="1">
      <c r="A27" s="492"/>
      <c r="B27" s="3189" t="s">
        <v>956</v>
      </c>
      <c r="C27" s="3190">
        <f>AC34</f>
        <v>1003.766304347826</v>
      </c>
      <c r="D27" s="3641">
        <f>AF34</f>
        <v>1003.766304347826</v>
      </c>
      <c r="E27" s="3555">
        <f>AI34</f>
        <v>1010.108695652174</v>
      </c>
      <c r="F27" s="4348"/>
      <c r="G27" s="4349"/>
      <c r="H27" s="4349"/>
      <c r="I27" s="4349"/>
      <c r="J27" s="4349"/>
      <c r="K27" s="4349"/>
      <c r="L27" s="4349"/>
      <c r="M27" s="4349"/>
      <c r="N27" s="4349"/>
      <c r="O27" s="4349"/>
      <c r="P27" s="4349"/>
      <c r="Q27" s="4349"/>
      <c r="R27" s="4349"/>
      <c r="S27" s="4349"/>
      <c r="T27" s="4349"/>
      <c r="U27" s="4349"/>
      <c r="V27" s="4349"/>
      <c r="W27" s="4349"/>
      <c r="X27" s="4349"/>
      <c r="Y27" s="447"/>
      <c r="Z27" s="2625">
        <v>4</v>
      </c>
      <c r="AA27" s="2811">
        <v>1.4730000000000001</v>
      </c>
      <c r="AB27" s="1154"/>
      <c r="AC27" s="1124"/>
      <c r="AD27" s="1124"/>
      <c r="AE27" s="542"/>
      <c r="AF27" s="542"/>
      <c r="AG27" s="533"/>
      <c r="AH27" s="1154"/>
      <c r="AI27" s="1124"/>
      <c r="AJ27" s="1642"/>
    </row>
    <row r="28" spans="1:36" ht="15" customHeight="1">
      <c r="A28" s="492"/>
      <c r="B28" s="1141" t="s">
        <v>957</v>
      </c>
      <c r="C28" s="3191">
        <f>(C26-C27)/(7.75-3*(C26-1000)/800)</f>
        <v>4.3025414049114854</v>
      </c>
      <c r="D28" s="3642">
        <f>(D26-D27)/(7.75-3*(D26-1000)/800)</f>
        <v>4.3025414049114854</v>
      </c>
      <c r="E28" s="3555">
        <f>(E26-E27)/(7.75-3*(E26-1000)/800)</f>
        <v>3.9911308203991145</v>
      </c>
      <c r="F28" s="2036"/>
      <c r="G28" s="2038"/>
      <c r="H28" s="2038"/>
      <c r="I28" s="2038"/>
      <c r="J28" s="2038"/>
      <c r="K28" s="1639"/>
      <c r="L28" s="1639"/>
      <c r="M28" s="1639"/>
      <c r="N28" s="1639"/>
      <c r="O28" s="1639"/>
      <c r="P28" s="1639"/>
      <c r="Q28" s="1639"/>
      <c r="R28" s="1639"/>
      <c r="S28" s="1142"/>
      <c r="T28" s="1142"/>
      <c r="U28" s="1142"/>
      <c r="V28" s="1142"/>
      <c r="W28" s="1142"/>
      <c r="X28" s="1142"/>
      <c r="Y28" s="1156"/>
      <c r="Z28" s="2625">
        <v>5</v>
      </c>
      <c r="AA28" s="2811">
        <v>1.4239999999999999</v>
      </c>
      <c r="AB28" s="1150"/>
      <c r="AC28" s="1150"/>
      <c r="AD28" s="1150"/>
      <c r="AE28" s="1150"/>
      <c r="AF28" s="746"/>
      <c r="AG28" s="533"/>
      <c r="AH28" s="1150"/>
      <c r="AI28" s="1150"/>
      <c r="AJ28" s="1642"/>
    </row>
    <row r="29" spans="1:36" ht="15" customHeight="1">
      <c r="A29" s="492"/>
      <c r="B29" s="3192" t="str">
        <f>"Priming sugar g ̸ litre (1 level tsp = "&amp;R$57&amp;"g )"</f>
        <v>Priming sugar g ̸ litre (1 level tsp = 3.15g )</v>
      </c>
      <c r="C29" s="1635">
        <v>4.7249999999999996</v>
      </c>
      <c r="D29" s="3546">
        <f>C29</f>
        <v>4.7249999999999996</v>
      </c>
      <c r="E29" s="3550">
        <f>D29</f>
        <v>4.7249999999999996</v>
      </c>
      <c r="F29" s="4350" t="str">
        <f>"g = "&amp;FIXED(C29/R57)&amp;" ̸ "&amp;FIXED(D29/R57)&amp;"/ "&amp;FIXED(E29/R57)&amp;" level 5ml tsp sucrose"</f>
        <v>g = 1.50 ̸ 1.50/ 1.50 level 5ml tsp sucrose</v>
      </c>
      <c r="G29" s="4351"/>
      <c r="H29" s="4351"/>
      <c r="I29" s="4351"/>
      <c r="J29" s="4351"/>
      <c r="K29" s="4351"/>
      <c r="L29" s="1900"/>
      <c r="M29" s="1900"/>
      <c r="N29" s="514"/>
      <c r="O29" s="4352" t="s">
        <v>958</v>
      </c>
      <c r="P29" s="4353"/>
      <c r="Q29" s="4353"/>
      <c r="R29" s="4353"/>
      <c r="S29" s="4353"/>
      <c r="T29" s="4353"/>
      <c r="U29" s="4353"/>
      <c r="V29" s="2439"/>
      <c r="W29" s="2439"/>
      <c r="X29" s="2582"/>
      <c r="Y29" s="2583"/>
      <c r="Z29" s="2625">
        <v>6</v>
      </c>
      <c r="AA29" s="2811">
        <v>1.377</v>
      </c>
      <c r="AB29" s="524"/>
      <c r="AC29" s="524"/>
      <c r="AD29" s="524"/>
      <c r="AE29" s="524"/>
      <c r="AF29" s="524"/>
      <c r="AG29" s="533"/>
      <c r="AH29" s="524"/>
      <c r="AI29" s="524"/>
      <c r="AJ29" s="1642"/>
    </row>
    <row r="30" spans="1:36" ht="15" customHeight="1">
      <c r="A30" s="492"/>
      <c r="B30" s="3180" t="s">
        <v>960</v>
      </c>
      <c r="C30" s="3683">
        <v>20</v>
      </c>
      <c r="D30" s="3684">
        <f>C30</f>
        <v>20</v>
      </c>
      <c r="E30" s="3685">
        <f>D30</f>
        <v>20</v>
      </c>
      <c r="F30" s="4354" t="s">
        <v>961</v>
      </c>
      <c r="G30" s="4355"/>
      <c r="H30" s="1642"/>
      <c r="I30" s="1642"/>
      <c r="J30" s="1642"/>
      <c r="K30" s="1642"/>
      <c r="L30" s="564"/>
      <c r="M30" s="2584"/>
      <c r="N30" s="514"/>
      <c r="O30" s="2444"/>
      <c r="P30" s="564"/>
      <c r="Q30" s="4415" t="s">
        <v>959</v>
      </c>
      <c r="R30" s="4415"/>
      <c r="S30" s="4415"/>
      <c r="T30" s="4415"/>
      <c r="U30" s="4415"/>
      <c r="V30" s="4415"/>
      <c r="W30" s="4415"/>
      <c r="X30" s="4415"/>
      <c r="Y30" s="2454"/>
      <c r="Z30" s="2625">
        <v>7</v>
      </c>
      <c r="AA30" s="2811">
        <v>1.331</v>
      </c>
      <c r="AB30" s="2004" t="s">
        <v>962</v>
      </c>
      <c r="AC30" s="1641"/>
      <c r="AD30" s="1641"/>
      <c r="AE30" s="1641"/>
      <c r="AF30" s="1641"/>
      <c r="AG30" s="1641"/>
      <c r="AH30" s="1641"/>
      <c r="AI30" s="1641"/>
      <c r="AJ30" s="1642"/>
    </row>
    <row r="31" spans="1:36" ht="15" customHeight="1">
      <c r="A31" s="492"/>
      <c r="B31" s="1139" t="s">
        <v>963</v>
      </c>
      <c r="C31" s="1157">
        <f>AC22</f>
        <v>1038.2936141304349</v>
      </c>
      <c r="D31" s="3547">
        <f>AF22</f>
        <v>1038.2936141304349</v>
      </c>
      <c r="E31" s="3556">
        <f>AI22</f>
        <v>1042.2066576086957</v>
      </c>
      <c r="F31" s="4356" t="s">
        <v>966</v>
      </c>
      <c r="G31" s="4357"/>
      <c r="H31" s="4357"/>
      <c r="I31" s="4357"/>
      <c r="J31" s="4357"/>
      <c r="K31" s="4357"/>
      <c r="L31" s="4357"/>
      <c r="M31" s="1158"/>
      <c r="N31" s="514"/>
      <c r="O31" s="2441"/>
      <c r="P31" s="1158"/>
      <c r="Q31" s="4415" t="s">
        <v>801</v>
      </c>
      <c r="R31" s="4415"/>
      <c r="S31" s="4415"/>
      <c r="T31" s="4415"/>
      <c r="U31" s="4415"/>
      <c r="V31" s="4415"/>
      <c r="W31" s="4415"/>
      <c r="X31" s="4415"/>
      <c r="Y31" s="2586"/>
      <c r="Z31" s="2625">
        <v>8</v>
      </c>
      <c r="AA31" s="2811">
        <v>1.282</v>
      </c>
      <c r="AB31" s="1159" t="s">
        <v>191</v>
      </c>
      <c r="AC31" s="1160">
        <f>AC20</f>
        <v>15.163043478260869</v>
      </c>
      <c r="AD31" s="1161"/>
      <c r="AE31" s="1161" t="s">
        <v>191</v>
      </c>
      <c r="AF31" s="441">
        <f>AF20</f>
        <v>15.163043478260869</v>
      </c>
      <c r="AG31" s="533"/>
      <c r="AH31" s="1159" t="s">
        <v>191</v>
      </c>
      <c r="AI31" s="1658">
        <f>AI20</f>
        <v>30.326086956521738</v>
      </c>
      <c r="AJ31" s="1642"/>
    </row>
    <row r="32" spans="1:36" ht="15" customHeight="1">
      <c r="A32" s="492"/>
      <c r="B32" s="3189" t="s">
        <v>964</v>
      </c>
      <c r="C32" s="3193">
        <f>AC23</f>
        <v>1003.6263262228262</v>
      </c>
      <c r="D32" s="3643">
        <f>AF23</f>
        <v>1003.6263262228262</v>
      </c>
      <c r="E32" s="3557">
        <f>AI23</f>
        <v>1009.9687175271739</v>
      </c>
      <c r="F32" s="4366" t="s">
        <v>1870</v>
      </c>
      <c r="G32" s="4367"/>
      <c r="H32" s="4367"/>
      <c r="I32" s="4367"/>
      <c r="J32" s="4367"/>
      <c r="K32" s="4367"/>
      <c r="L32" s="4367"/>
      <c r="M32" s="4367"/>
      <c r="N32" s="4368"/>
      <c r="O32" s="2442"/>
      <c r="P32" s="2443"/>
      <c r="Q32" s="4415" t="s">
        <v>1776</v>
      </c>
      <c r="R32" s="4415"/>
      <c r="S32" s="4415"/>
      <c r="T32" s="4415"/>
      <c r="U32" s="4415"/>
      <c r="V32" s="4415"/>
      <c r="W32" s="4415"/>
      <c r="X32" s="4415"/>
      <c r="Y32" s="2454"/>
      <c r="Z32" s="2625">
        <v>9</v>
      </c>
      <c r="AA32" s="2811">
        <v>1.2370000000000001</v>
      </c>
      <c r="AB32" s="437" t="s">
        <v>194</v>
      </c>
      <c r="AC32" s="1163">
        <f>(1.079*0.375*(C14+0.68*C15)/C9)</f>
        <v>17.592391304347824</v>
      </c>
      <c r="AD32" s="1161"/>
      <c r="AE32" s="1161" t="s">
        <v>194</v>
      </c>
      <c r="AF32" s="1149">
        <f>(1.079*0.375*(D14+0.68*D15)/D9)</f>
        <v>17.592391304347824</v>
      </c>
      <c r="AG32" s="533"/>
      <c r="AH32" s="437" t="s">
        <v>194</v>
      </c>
      <c r="AI32" s="1659">
        <f>(1.079*0.375*(E14+0.68*E15)/E9)</f>
        <v>0</v>
      </c>
      <c r="AJ32" s="1642"/>
    </row>
    <row r="33" spans="1:36" ht="15" customHeight="1">
      <c r="A33" s="492"/>
      <c r="B33" s="3189" t="s">
        <v>965</v>
      </c>
      <c r="C33" s="3194">
        <f>(C31-C32)/(7.75-3*(C31-1000)/800)</f>
        <v>4.5576478632155029</v>
      </c>
      <c r="D33" s="3644">
        <f>(D31-D32)/(7.75-3*(D31-1000)/800)</f>
        <v>4.5576478632155029</v>
      </c>
      <c r="E33" s="3558">
        <f>(E31-E32)/(7.75-3*(E31-1000)/800)</f>
        <v>4.2464578125894512</v>
      </c>
      <c r="F33" s="4366"/>
      <c r="G33" s="4367"/>
      <c r="H33" s="4367"/>
      <c r="I33" s="4367"/>
      <c r="J33" s="4367"/>
      <c r="K33" s="4367"/>
      <c r="L33" s="4367"/>
      <c r="M33" s="4367"/>
      <c r="N33" s="4368"/>
      <c r="O33" s="2444"/>
      <c r="P33" s="564"/>
      <c r="Q33" s="564"/>
      <c r="R33" s="564"/>
      <c r="S33" s="564"/>
      <c r="T33" s="564"/>
      <c r="U33" s="564"/>
      <c r="V33" s="564"/>
      <c r="W33" s="564"/>
      <c r="X33" s="2585"/>
      <c r="Y33" s="2586"/>
      <c r="Z33" s="2625">
        <v>10</v>
      </c>
      <c r="AA33" s="2811">
        <v>1.194</v>
      </c>
      <c r="AB33" s="1165" t="s">
        <v>349</v>
      </c>
      <c r="AC33" s="1160">
        <f>1000+((C14+C15*319/375)*375+SUM(AB10:AB14)-AB14)/(1000*C9)</f>
        <v>1036.5217391304348</v>
      </c>
      <c r="AD33" s="1161"/>
      <c r="AE33" s="1161" t="s">
        <v>349</v>
      </c>
      <c r="AF33" s="1166">
        <f>1000+((D14+D15*319/375)*375+SUM(AE10:AE14)-AE14)/(1000*D9)</f>
        <v>1036.5217391304348</v>
      </c>
      <c r="AG33" s="533"/>
      <c r="AH33" s="1165" t="s">
        <v>349</v>
      </c>
      <c r="AI33" s="1658">
        <f>1000+((E14+E15*319/375)*375+SUM(AH10:AH14)-AH14)/(1000*E9)</f>
        <v>1040.4347826086957</v>
      </c>
      <c r="AJ33" s="1642"/>
    </row>
    <row r="34" spans="1:36" ht="15" customHeight="1">
      <c r="A34" s="492"/>
      <c r="B34" s="3189" t="s">
        <v>967</v>
      </c>
      <c r="C34" s="3607">
        <f>C29*$AA$20+VLOOKUP($C$30,$Z$23:$AA$66,2)</f>
        <v>2.1148947368421052</v>
      </c>
      <c r="D34" s="3645">
        <f>D29*$AA$20+VLOOKUP($D$30,$Z$23:$AA$66,2)</f>
        <v>2.1148947368421052</v>
      </c>
      <c r="E34" s="3608">
        <f>E29*$AA$20+VLOOKUP($E$30,$Z$23:$AA$66,2)</f>
        <v>2.1148947368421052</v>
      </c>
      <c r="F34" s="4366"/>
      <c r="G34" s="4367"/>
      <c r="H34" s="4367"/>
      <c r="I34" s="4367"/>
      <c r="J34" s="4367"/>
      <c r="K34" s="4367"/>
      <c r="L34" s="4367"/>
      <c r="M34" s="4367"/>
      <c r="N34" s="4368"/>
      <c r="O34" s="4369" t="s">
        <v>1688</v>
      </c>
      <c r="P34" s="4370"/>
      <c r="Q34" s="4370"/>
      <c r="R34" s="4370"/>
      <c r="S34" s="4370"/>
      <c r="T34" s="4370"/>
      <c r="U34" s="4370"/>
      <c r="V34" s="4370"/>
      <c r="W34" s="4370"/>
      <c r="X34" s="1172"/>
      <c r="Y34" s="2455"/>
      <c r="Z34" s="2625">
        <v>11</v>
      </c>
      <c r="AA34" s="2811">
        <v>1.1539999999999999</v>
      </c>
      <c r="AB34" s="1168" t="s">
        <v>354</v>
      </c>
      <c r="AC34" s="1169">
        <f>(AC33-AC31-AC32)</f>
        <v>1003.766304347826</v>
      </c>
      <c r="AD34" s="1170"/>
      <c r="AE34" s="1171" t="s">
        <v>354</v>
      </c>
      <c r="AF34" s="746">
        <f>(AF33-AF31-AF32)</f>
        <v>1003.766304347826</v>
      </c>
      <c r="AG34" s="533"/>
      <c r="AH34" s="1168" t="s">
        <v>354</v>
      </c>
      <c r="AI34" s="1660">
        <f>(AI33-AI31-AI32)</f>
        <v>1010.108695652174</v>
      </c>
      <c r="AJ34" s="1642"/>
    </row>
    <row r="35" spans="1:36" ht="15" customHeight="1">
      <c r="A35" s="447"/>
      <c r="B35" s="3646" t="s">
        <v>663</v>
      </c>
      <c r="C35" s="4341">
        <v>750</v>
      </c>
      <c r="D35" s="4342"/>
      <c r="E35" s="3559">
        <f>C35</f>
        <v>750</v>
      </c>
      <c r="F35" s="4343" t="s">
        <v>1821</v>
      </c>
      <c r="G35" s="4344"/>
      <c r="H35" s="4344"/>
      <c r="I35" s="4344"/>
      <c r="J35" s="4344"/>
      <c r="K35" s="4344"/>
      <c r="L35" s="4344"/>
      <c r="M35" s="1172"/>
      <c r="N35" s="514"/>
      <c r="O35" s="2445"/>
      <c r="P35" s="1172"/>
      <c r="Q35" s="4345" t="s">
        <v>968</v>
      </c>
      <c r="R35" s="4345"/>
      <c r="S35" s="4345"/>
      <c r="T35" s="4345"/>
      <c r="U35" s="4345"/>
      <c r="V35" s="3203">
        <f>D26</f>
        <v>1036.5217391304348</v>
      </c>
      <c r="W35" s="1898"/>
      <c r="X35" s="2585"/>
      <c r="Y35" s="2586"/>
      <c r="Z35" s="2625">
        <v>12</v>
      </c>
      <c r="AA35" s="2811">
        <v>1.117</v>
      </c>
      <c r="AB35" s="1173" t="s">
        <v>969</v>
      </c>
      <c r="AC35" s="746" t="s">
        <v>970</v>
      </c>
      <c r="AD35" s="1174"/>
      <c r="AE35" s="1643"/>
      <c r="AF35" s="1645"/>
      <c r="AG35" s="533"/>
      <c r="AH35" s="1173" t="s">
        <v>969</v>
      </c>
      <c r="AI35" s="746" t="s">
        <v>970</v>
      </c>
      <c r="AJ35" s="1656"/>
    </row>
    <row r="36" spans="1:36" ht="15" customHeight="1">
      <c r="A36" s="447"/>
      <c r="B36" s="3195" t="s">
        <v>32</v>
      </c>
      <c r="C36" s="3196">
        <f>AC40*C35</f>
        <v>189.15471476091338</v>
      </c>
      <c r="D36" s="3647">
        <f>AD40*C35</f>
        <v>189.15471476091338</v>
      </c>
      <c r="E36" s="3560">
        <f>AE40*E35</f>
        <v>176.23948589084529</v>
      </c>
      <c r="F36" s="4343"/>
      <c r="G36" s="4344"/>
      <c r="H36" s="4344"/>
      <c r="I36" s="4344"/>
      <c r="J36" s="4344"/>
      <c r="K36" s="4344"/>
      <c r="L36" s="4344"/>
      <c r="M36" s="1172"/>
      <c r="N36" s="514"/>
      <c r="O36" s="2445"/>
      <c r="P36" s="1172"/>
      <c r="Q36" s="4346" t="s">
        <v>971</v>
      </c>
      <c r="R36" s="4346"/>
      <c r="S36" s="4346"/>
      <c r="T36" s="4346"/>
      <c r="U36" s="4346"/>
      <c r="V36" s="3204">
        <f>D27</f>
        <v>1003.766304347826</v>
      </c>
      <c r="W36" s="1898"/>
      <c r="X36" s="2440"/>
      <c r="Y36" s="2454"/>
      <c r="Z36" s="2625">
        <v>13</v>
      </c>
      <c r="AA36" s="2811">
        <v>1.083</v>
      </c>
      <c r="AB36" s="1173"/>
      <c r="AC36" s="1174"/>
      <c r="AD36" s="1174"/>
      <c r="AE36" s="1643"/>
      <c r="AF36" s="1175"/>
      <c r="AG36" s="533"/>
      <c r="AH36" s="1173"/>
      <c r="AI36" s="1174"/>
      <c r="AJ36" s="1656"/>
    </row>
    <row r="37" spans="1:36" ht="15" customHeight="1">
      <c r="A37" s="447"/>
      <c r="B37" s="3197" t="s">
        <v>35</v>
      </c>
      <c r="C37" s="1644">
        <f>AC41*C35</f>
        <v>70.769812739910662</v>
      </c>
      <c r="D37" s="3548">
        <f>AD41*C35</f>
        <v>70.769812739910662</v>
      </c>
      <c r="E37" s="3561">
        <f>AE41*E35</f>
        <v>115.92949766539176</v>
      </c>
      <c r="F37" s="4343"/>
      <c r="G37" s="4344"/>
      <c r="H37" s="4344"/>
      <c r="I37" s="4344"/>
      <c r="J37" s="4344"/>
      <c r="K37" s="4344"/>
      <c r="L37" s="4344"/>
      <c r="M37" s="1176"/>
      <c r="N37" s="514"/>
      <c r="O37" s="2446"/>
      <c r="P37" s="2447">
        <f>V35+P38</f>
        <v>1038.2936141304347</v>
      </c>
      <c r="Q37" s="4347" t="s">
        <v>960</v>
      </c>
      <c r="R37" s="4347"/>
      <c r="S37" s="4347"/>
      <c r="T37" s="4347"/>
      <c r="U37" s="4347"/>
      <c r="V37" s="3178">
        <f>C30</f>
        <v>20</v>
      </c>
      <c r="W37" s="1898"/>
      <c r="X37" s="2585"/>
      <c r="Y37" s="2586"/>
      <c r="Z37" s="2625">
        <f>(Z36+Z38)/2</f>
        <v>13.5</v>
      </c>
      <c r="AA37" s="2625">
        <f>(AA36+AA38)/2</f>
        <v>1.0665</v>
      </c>
      <c r="AB37" s="1177"/>
      <c r="AC37" s="524"/>
      <c r="AD37" s="524"/>
      <c r="AE37" s="524"/>
      <c r="AF37" s="1178"/>
      <c r="AG37" s="533"/>
      <c r="AH37" s="1177"/>
      <c r="AI37" s="542"/>
      <c r="AJ37" s="1142"/>
    </row>
    <row r="38" spans="1:36" ht="15" customHeight="1">
      <c r="A38" s="447"/>
      <c r="B38" s="3198" t="s">
        <v>37</v>
      </c>
      <c r="C38" s="3199">
        <f>SUM(C36:C37)</f>
        <v>259.92452750082407</v>
      </c>
      <c r="D38" s="3648">
        <f>SUM(D36:D37)</f>
        <v>259.92452750082407</v>
      </c>
      <c r="E38" s="3562">
        <f>SUM(E36:E37)</f>
        <v>292.16898355623704</v>
      </c>
      <c r="F38" s="4358" t="s">
        <v>972</v>
      </c>
      <c r="G38" s="4358"/>
      <c r="H38" s="4358"/>
      <c r="I38" s="4358"/>
      <c r="J38" s="1640"/>
      <c r="K38" s="1640"/>
      <c r="L38" s="1167"/>
      <c r="M38" s="1176"/>
      <c r="N38" s="514"/>
      <c r="O38" s="2446"/>
      <c r="P38" s="2448">
        <f>0.375*V38</f>
        <v>1.7718749999999999</v>
      </c>
      <c r="Q38" s="4359" t="s">
        <v>1745</v>
      </c>
      <c r="R38" s="4359"/>
      <c r="S38" s="4359"/>
      <c r="T38" s="4359"/>
      <c r="U38" s="4359"/>
      <c r="V38" s="3649">
        <f>C29</f>
        <v>4.7249999999999996</v>
      </c>
      <c r="W38" s="4360" t="str">
        <f>FIXED(V38/R57)&amp;" level 5ml tsp."</f>
        <v>1.50 level 5ml tsp.</v>
      </c>
      <c r="X38" s="4361"/>
      <c r="Y38" s="4362"/>
      <c r="Z38" s="2625">
        <v>14</v>
      </c>
      <c r="AA38" s="2811">
        <v>1.05</v>
      </c>
      <c r="AB38" s="542"/>
      <c r="AC38" s="3650" t="s">
        <v>21</v>
      </c>
      <c r="AD38" s="3650" t="s">
        <v>22</v>
      </c>
      <c r="AE38" s="3650" t="s">
        <v>23</v>
      </c>
      <c r="AF38" s="542"/>
      <c r="AG38" s="533"/>
      <c r="AH38" s="1177"/>
      <c r="AI38" s="542"/>
      <c r="AJ38" s="1142"/>
    </row>
    <row r="39" spans="1:36" ht="15" customHeight="1">
      <c r="A39" s="447"/>
      <c r="B39" s="3200" t="s">
        <v>39</v>
      </c>
      <c r="C39" s="3201">
        <f>C37/AE39</f>
        <v>18.381769542833936</v>
      </c>
      <c r="D39" s="3651">
        <f>D37/AE39</f>
        <v>18.381769542833936</v>
      </c>
      <c r="E39" s="3563">
        <f>E37/AE39</f>
        <v>30.111557835166693</v>
      </c>
      <c r="F39" s="514"/>
      <c r="G39" s="514"/>
      <c r="H39" s="4363" t="s">
        <v>973</v>
      </c>
      <c r="I39" s="4363"/>
      <c r="J39" s="4363"/>
      <c r="K39" s="4363"/>
      <c r="L39" s="4363"/>
      <c r="M39" s="1176"/>
      <c r="N39" s="514"/>
      <c r="O39" s="2446"/>
      <c r="P39" s="2443"/>
      <c r="Q39" s="4364" t="s">
        <v>974</v>
      </c>
      <c r="R39" s="4364"/>
      <c r="S39" s="4364"/>
      <c r="T39" s="4364"/>
      <c r="U39" s="4364"/>
      <c r="V39" s="3205">
        <f>V38*$AA$20+VLOOKUP(V37,$Z$23:$AA$66,2)</f>
        <v>2.1148947368421052</v>
      </c>
      <c r="W39" s="1898"/>
      <c r="X39" s="2585"/>
      <c r="Y39" s="2586"/>
      <c r="Z39" s="2625">
        <f>(Z38+Z40)/2</f>
        <v>14.5</v>
      </c>
      <c r="AA39" s="2625">
        <f>(AA38+AA40)/2</f>
        <v>1.034</v>
      </c>
      <c r="AB39" s="524"/>
      <c r="AC39" s="3650">
        <v>789.4</v>
      </c>
      <c r="AD39" s="3650">
        <v>7.01</v>
      </c>
      <c r="AE39" s="3650">
        <v>3.85</v>
      </c>
      <c r="AF39" s="358"/>
      <c r="AG39" s="533"/>
      <c r="AH39" s="1177"/>
      <c r="AI39" s="542"/>
      <c r="AJ39" s="1142"/>
    </row>
    <row r="40" spans="1:36" ht="15" customHeight="1">
      <c r="A40" s="447"/>
      <c r="B40" s="3652" t="str">
        <f>"Units of alcohol (UK) for  "&amp;C35&amp;"  /  "&amp;C35&amp;"  /  "&amp;E35&amp;"ml"</f>
        <v>Units of alcohol (UK) for  750  /  750  /  750ml</v>
      </c>
      <c r="C40" s="3653">
        <f>C33*C35/1000</f>
        <v>3.4182358974116274</v>
      </c>
      <c r="D40" s="3549">
        <f>D33*C35/1000</f>
        <v>3.4182358974116274</v>
      </c>
      <c r="E40" s="3564">
        <f>E33*E35/1000</f>
        <v>3.1848433594420884</v>
      </c>
      <c r="F40" s="514"/>
      <c r="G40" s="1664" t="s">
        <v>975</v>
      </c>
      <c r="H40" s="4363" t="s">
        <v>976</v>
      </c>
      <c r="I40" s="4363"/>
      <c r="J40" s="4363"/>
      <c r="K40" s="4363"/>
      <c r="L40" s="4363"/>
      <c r="M40" s="1167"/>
      <c r="N40" s="514"/>
      <c r="O40" s="2449"/>
      <c r="P40" s="2450"/>
      <c r="Q40" s="4365" t="s">
        <v>977</v>
      </c>
      <c r="R40" s="4365"/>
      <c r="S40" s="4365"/>
      <c r="T40" s="4365"/>
      <c r="U40" s="4365"/>
      <c r="V40" s="3654">
        <f>(P37-V36)/(7.75-3*(V35-1000)/800)</f>
        <v>4.5352834094802921</v>
      </c>
      <c r="W40" s="1898"/>
      <c r="X40" s="2440"/>
      <c r="Y40" s="2454"/>
      <c r="Z40" s="2625">
        <v>15</v>
      </c>
      <c r="AA40" s="2811">
        <v>1.018</v>
      </c>
      <c r="AB40" s="524"/>
      <c r="AC40" s="1645">
        <f>0.01*$AD44*(C31-C32)/(7.75-(3*(C31-1000)/800))</f>
        <v>0.2522062863478845</v>
      </c>
      <c r="AD40" s="3655">
        <f>0.01*$AD44*(D31-D32)/(7.75-(3*(D31-1000)/800))</f>
        <v>0.2522062863478845</v>
      </c>
      <c r="AE40" s="3655">
        <f>0.01*$AD44*(E31-E32)/(7.75-(3*(E31-1000)/800))</f>
        <v>0.23498598118779371</v>
      </c>
      <c r="AF40" s="1637" t="s">
        <v>33</v>
      </c>
      <c r="AG40" s="533"/>
      <c r="AH40" s="1177"/>
      <c r="AI40" s="542"/>
      <c r="AJ40" s="1142"/>
    </row>
    <row r="41" spans="1:36" ht="15" customHeight="1">
      <c r="A41" s="447"/>
      <c r="B41" s="447"/>
      <c r="C41" s="447"/>
      <c r="D41" s="447"/>
      <c r="E41" s="447"/>
      <c r="F41" s="1164"/>
      <c r="G41" s="1167"/>
      <c r="H41" s="1167"/>
      <c r="I41" s="1167"/>
      <c r="J41" s="1167"/>
      <c r="K41" s="514"/>
      <c r="L41" s="1167"/>
      <c r="M41" s="1167"/>
      <c r="N41" s="524"/>
      <c r="O41" s="2451"/>
      <c r="P41" s="2452"/>
      <c r="Q41" s="4375" t="s">
        <v>1908</v>
      </c>
      <c r="R41" s="4375"/>
      <c r="S41" s="4375"/>
      <c r="T41" s="4375"/>
      <c r="U41" s="4375"/>
      <c r="V41" s="4375"/>
      <c r="W41" s="2453"/>
      <c r="X41" s="2587"/>
      <c r="Y41" s="2588"/>
      <c r="Z41" s="2625">
        <f>(Z40+Z42)/2</f>
        <v>15.5</v>
      </c>
      <c r="AA41" s="2625">
        <f>(AA40+AA42)/2</f>
        <v>1.0015000000000001</v>
      </c>
      <c r="AB41" s="358"/>
      <c r="AC41" s="1645">
        <f>0.00000001*C32*((1000*C31)/$AD44+(819.2*C32)-1000400)</f>
        <v>9.4359750319880878E-2</v>
      </c>
      <c r="AD41" s="1646">
        <f>0.00000001*D32*((1000*D31)/$AD44+(819.2*D32)-1000400)</f>
        <v>9.4359750319880878E-2</v>
      </c>
      <c r="AE41" s="1646">
        <f>0.00000001*E32*((1000*E31)/$AD44+(819.2*E32)-1000400)</f>
        <v>0.15457266355385568</v>
      </c>
      <c r="AF41" s="1637" t="s">
        <v>33</v>
      </c>
      <c r="AG41" s="533"/>
      <c r="AH41" s="1177"/>
      <c r="AI41" s="542"/>
      <c r="AJ41" s="1142"/>
    </row>
    <row r="42" spans="1:36" ht="15" customHeight="1">
      <c r="A42" s="447"/>
      <c r="B42" s="1179"/>
      <c r="C42" s="1179"/>
      <c r="D42" s="3853" t="s">
        <v>1946</v>
      </c>
      <c r="E42" s="1179"/>
      <c r="F42" s="1179"/>
      <c r="G42" s="1179"/>
      <c r="H42" s="1179"/>
      <c r="I42" s="1179"/>
      <c r="J42" s="1167"/>
      <c r="K42" s="1657"/>
      <c r="L42" s="1657"/>
      <c r="M42" s="1657"/>
      <c r="N42" s="1167"/>
      <c r="O42" s="1167"/>
      <c r="P42" s="1167"/>
      <c r="Q42" s="1167"/>
      <c r="R42" s="1167"/>
      <c r="S42" s="1143"/>
      <c r="T42" s="1143"/>
      <c r="U42" s="1143"/>
      <c r="V42" s="1143"/>
      <c r="W42" s="1143"/>
      <c r="X42" s="1143"/>
      <c r="Y42" s="447"/>
      <c r="Z42" s="2625">
        <v>16</v>
      </c>
      <c r="AA42" s="2811">
        <v>0.98499999999999999</v>
      </c>
      <c r="AB42" s="358"/>
      <c r="AC42" s="3711" t="s">
        <v>668</v>
      </c>
      <c r="AD42" s="358" t="s">
        <v>669</v>
      </c>
      <c r="AE42" s="358" t="s">
        <v>670</v>
      </c>
      <c r="AF42" s="358"/>
      <c r="AG42" s="533"/>
      <c r="AH42" s="1177"/>
      <c r="AI42" s="542"/>
      <c r="AJ42" s="1142"/>
    </row>
    <row r="43" spans="1:36" ht="15" customHeight="1">
      <c r="A43" s="4376" t="s">
        <v>816</v>
      </c>
      <c r="B43" s="4376"/>
      <c r="C43" s="4376"/>
      <c r="D43" s="4376"/>
      <c r="E43" s="4376"/>
      <c r="F43" s="1654"/>
      <c r="G43" s="4377" t="s">
        <v>1748</v>
      </c>
      <c r="H43" s="4377"/>
      <c r="I43" s="4377"/>
      <c r="J43" s="4377"/>
      <c r="K43" s="4377"/>
      <c r="L43" s="4377"/>
      <c r="M43" s="4377"/>
      <c r="N43" s="4377"/>
      <c r="O43" s="4377"/>
      <c r="P43" s="4377"/>
      <c r="Q43" s="4377"/>
      <c r="R43" s="4377"/>
      <c r="S43" s="4377"/>
      <c r="T43" s="4377"/>
      <c r="U43" s="4377"/>
      <c r="V43" s="4377"/>
      <c r="W43" s="4377"/>
      <c r="X43" s="4377"/>
      <c r="Y43" s="492"/>
      <c r="Z43" s="2625">
        <f>(Z42+Z44)/2</f>
        <v>16.5</v>
      </c>
      <c r="AA43" s="2625">
        <f>(AA42+AA44)/2</f>
        <v>0.97049999999999992</v>
      </c>
      <c r="AB43" s="425"/>
      <c r="AC43" s="1180"/>
      <c r="AD43" s="1180"/>
      <c r="AE43" s="1647"/>
      <c r="AF43" s="1181"/>
      <c r="AG43" s="1757"/>
      <c r="AH43" s="1177"/>
      <c r="AI43" s="542"/>
      <c r="AJ43" s="1142"/>
    </row>
    <row r="44" spans="1:36" ht="15" customHeight="1">
      <c r="A44" s="492"/>
      <c r="B44" s="3656" t="s">
        <v>978</v>
      </c>
      <c r="C44" s="4378" t="s">
        <v>979</v>
      </c>
      <c r="D44" s="4378"/>
      <c r="E44" s="3657" t="s">
        <v>392</v>
      </c>
      <c r="F44" s="1654"/>
      <c r="G44" s="4377"/>
      <c r="H44" s="4377"/>
      <c r="I44" s="4377"/>
      <c r="J44" s="4377"/>
      <c r="K44" s="4377"/>
      <c r="L44" s="4377"/>
      <c r="M44" s="4377"/>
      <c r="N44" s="4377"/>
      <c r="O44" s="4377"/>
      <c r="P44" s="4377"/>
      <c r="Q44" s="4377"/>
      <c r="R44" s="4377"/>
      <c r="S44" s="4377"/>
      <c r="T44" s="4377"/>
      <c r="U44" s="4377"/>
      <c r="V44" s="4377"/>
      <c r="W44" s="4377"/>
      <c r="X44" s="4377"/>
      <c r="Y44" s="492"/>
      <c r="Z44" s="2625">
        <v>17</v>
      </c>
      <c r="AA44" s="2811">
        <v>0.95599999999999996</v>
      </c>
      <c r="AB44" s="1182"/>
      <c r="AC44" s="1182"/>
      <c r="AD44" s="1645">
        <f>AC39*AD39/1000</f>
        <v>5.5336939999999997</v>
      </c>
      <c r="AE44" s="1647"/>
      <c r="AF44" s="1181"/>
      <c r="AG44" s="1757"/>
      <c r="AH44" s="1757"/>
      <c r="AI44" s="1757"/>
      <c r="AJ44" s="1642"/>
    </row>
    <row r="45" spans="1:36" ht="15" customHeight="1">
      <c r="A45" s="492"/>
      <c r="B45" s="3658"/>
      <c r="C45" s="3659" t="s">
        <v>390</v>
      </c>
      <c r="D45" s="3660" t="s">
        <v>820</v>
      </c>
      <c r="E45" s="3660" t="s">
        <v>821</v>
      </c>
      <c r="F45" s="1654"/>
      <c r="G45" s="4377"/>
      <c r="H45" s="4377"/>
      <c r="I45" s="4377"/>
      <c r="J45" s="4377"/>
      <c r="K45" s="4377"/>
      <c r="L45" s="4377"/>
      <c r="M45" s="4377"/>
      <c r="N45" s="4377"/>
      <c r="O45" s="4377"/>
      <c r="P45" s="4377"/>
      <c r="Q45" s="4377"/>
      <c r="R45" s="4377"/>
      <c r="S45" s="4377"/>
      <c r="T45" s="4377"/>
      <c r="U45" s="4377"/>
      <c r="V45" s="4377"/>
      <c r="W45" s="4377"/>
      <c r="X45" s="4377"/>
      <c r="Y45" s="492"/>
      <c r="Z45" s="2625">
        <f>(Z44+Z46)/2</f>
        <v>17.5</v>
      </c>
      <c r="AA45" s="2625">
        <f>(AA44+AA46)/2</f>
        <v>0.94199999999999995</v>
      </c>
      <c r="AB45" s="425"/>
      <c r="AC45" s="1182"/>
      <c r="AD45" s="1183"/>
      <c r="AE45" s="1183"/>
      <c r="AF45" s="1183"/>
      <c r="AG45" s="1757"/>
      <c r="AH45" s="1757"/>
      <c r="AI45" s="1757"/>
      <c r="AJ45" s="1642"/>
    </row>
    <row r="46" spans="1:36" ht="15" customHeight="1">
      <c r="A46" s="492"/>
      <c r="B46" s="3661" t="s">
        <v>980</v>
      </c>
      <c r="C46" s="3662">
        <v>2.2000000000000002</v>
      </c>
      <c r="D46" s="3663">
        <v>2.8</v>
      </c>
      <c r="E46" s="3664">
        <f>(C46+D46)/2</f>
        <v>2.5</v>
      </c>
      <c r="F46" s="1654"/>
      <c r="G46" s="4377"/>
      <c r="H46" s="4377"/>
      <c r="I46" s="4377"/>
      <c r="J46" s="4377"/>
      <c r="K46" s="4377"/>
      <c r="L46" s="4377"/>
      <c r="M46" s="4377"/>
      <c r="N46" s="4377"/>
      <c r="O46" s="4377"/>
      <c r="P46" s="4377"/>
      <c r="Q46" s="4377"/>
      <c r="R46" s="4377"/>
      <c r="S46" s="4377"/>
      <c r="T46" s="4377"/>
      <c r="U46" s="4377"/>
      <c r="V46" s="4377"/>
      <c r="W46" s="4377"/>
      <c r="X46" s="4377"/>
      <c r="Y46" s="492"/>
      <c r="Z46" s="2625">
        <v>18</v>
      </c>
      <c r="AA46" s="2811">
        <v>0.92800000000000005</v>
      </c>
      <c r="AB46" s="1182"/>
      <c r="AC46" s="1184"/>
      <c r="AD46" s="1182"/>
      <c r="AE46" s="1182"/>
      <c r="AF46" s="1182"/>
      <c r="AG46" s="1757"/>
      <c r="AH46" s="1757"/>
      <c r="AI46" s="1757"/>
      <c r="AJ46" s="1642"/>
    </row>
    <row r="47" spans="1:36" ht="15" customHeight="1">
      <c r="A47" s="492"/>
      <c r="B47" s="3665" t="s">
        <v>981</v>
      </c>
      <c r="C47" s="3666">
        <v>1.9</v>
      </c>
      <c r="D47" s="3663">
        <v>2.5</v>
      </c>
      <c r="E47" s="3664">
        <f t="shared" ref="E47:E53" si="4">(C47+D47)/2</f>
        <v>2.2000000000000002</v>
      </c>
      <c r="F47" s="1654"/>
      <c r="G47" s="4377"/>
      <c r="H47" s="4377"/>
      <c r="I47" s="4377"/>
      <c r="J47" s="4377"/>
      <c r="K47" s="4377"/>
      <c r="L47" s="4377"/>
      <c r="M47" s="4377"/>
      <c r="N47" s="4377"/>
      <c r="O47" s="4377"/>
      <c r="P47" s="4377"/>
      <c r="Q47" s="4377"/>
      <c r="R47" s="4377"/>
      <c r="S47" s="4377"/>
      <c r="T47" s="4377"/>
      <c r="U47" s="4377"/>
      <c r="V47" s="4377"/>
      <c r="W47" s="4377"/>
      <c r="X47" s="4377"/>
      <c r="Y47" s="492"/>
      <c r="Z47" s="2625">
        <f>(Z46+Z48)/2</f>
        <v>18.5</v>
      </c>
      <c r="AA47" s="2625">
        <f>(AA46+AA48)/2</f>
        <v>0.91500000000000004</v>
      </c>
      <c r="AB47" s="1182"/>
      <c r="AC47" s="1182"/>
      <c r="AD47" s="1182"/>
      <c r="AE47" s="1182"/>
      <c r="AF47" s="1182"/>
      <c r="AG47" s="1757"/>
      <c r="AH47" s="1757"/>
      <c r="AI47" s="1757"/>
      <c r="AJ47" s="1642"/>
    </row>
    <row r="48" spans="1:36" ht="15" customHeight="1">
      <c r="A48" s="492"/>
      <c r="B48" s="3665" t="s">
        <v>982</v>
      </c>
      <c r="C48" s="3662">
        <v>1.5</v>
      </c>
      <c r="D48" s="3667">
        <v>2</v>
      </c>
      <c r="E48" s="3668">
        <f t="shared" si="4"/>
        <v>1.75</v>
      </c>
      <c r="F48" s="1654"/>
      <c r="G48" s="4377"/>
      <c r="H48" s="4377"/>
      <c r="I48" s="4377"/>
      <c r="J48" s="4377"/>
      <c r="K48" s="4377"/>
      <c r="L48" s="4377"/>
      <c r="M48" s="4377"/>
      <c r="N48" s="4377"/>
      <c r="O48" s="4377"/>
      <c r="P48" s="4377"/>
      <c r="Q48" s="4377"/>
      <c r="R48" s="4377"/>
      <c r="S48" s="4377"/>
      <c r="T48" s="4377"/>
      <c r="U48" s="4377"/>
      <c r="V48" s="4377"/>
      <c r="W48" s="4377"/>
      <c r="X48" s="4377"/>
      <c r="Y48" s="492"/>
      <c r="Z48" s="2625">
        <v>19</v>
      </c>
      <c r="AA48" s="2811">
        <v>0.90200000000000002</v>
      </c>
      <c r="AB48" s="1182"/>
      <c r="AC48" s="1185"/>
      <c r="AD48" s="1182"/>
      <c r="AE48" s="1182"/>
      <c r="AF48" s="1182"/>
      <c r="AG48" s="1757"/>
      <c r="AH48" s="1757"/>
      <c r="AI48" s="1757"/>
      <c r="AJ48" s="1642"/>
    </row>
    <row r="49" spans="1:36" ht="15" customHeight="1">
      <c r="A49" s="492"/>
      <c r="B49" s="3665" t="s">
        <v>880</v>
      </c>
      <c r="C49" s="3662">
        <v>2.4</v>
      </c>
      <c r="D49" s="3667">
        <v>2.7</v>
      </c>
      <c r="E49" s="3650">
        <f t="shared" si="4"/>
        <v>2.5499999999999998</v>
      </c>
      <c r="F49" s="1654"/>
      <c r="G49" s="4377"/>
      <c r="H49" s="4377"/>
      <c r="I49" s="4377"/>
      <c r="J49" s="4377"/>
      <c r="K49" s="4377"/>
      <c r="L49" s="4377"/>
      <c r="M49" s="4377"/>
      <c r="N49" s="4377"/>
      <c r="O49" s="4377"/>
      <c r="P49" s="4377"/>
      <c r="Q49" s="4377"/>
      <c r="R49" s="4377"/>
      <c r="S49" s="4377"/>
      <c r="T49" s="4377"/>
      <c r="U49" s="4377"/>
      <c r="V49" s="4377"/>
      <c r="W49" s="4377"/>
      <c r="X49" s="4377"/>
      <c r="Y49" s="492"/>
      <c r="Z49" s="2625">
        <f>(Z48+Z50)/2</f>
        <v>19.5</v>
      </c>
      <c r="AA49" s="2625">
        <f>(AA48+AA50)/2</f>
        <v>0.88949999999999996</v>
      </c>
      <c r="AB49" s="1182"/>
      <c r="AC49" s="1186"/>
      <c r="AD49" s="1182"/>
      <c r="AE49" s="1182"/>
      <c r="AF49" s="1182"/>
      <c r="AG49" s="1757"/>
      <c r="AH49" s="1757"/>
      <c r="AI49" s="1757"/>
      <c r="AJ49" s="1642"/>
    </row>
    <row r="50" spans="1:36" ht="15" customHeight="1">
      <c r="A50" s="492"/>
      <c r="B50" s="3665" t="s">
        <v>881</v>
      </c>
      <c r="C50" s="3662">
        <v>2.5</v>
      </c>
      <c r="D50" s="3663">
        <v>2.8</v>
      </c>
      <c r="E50" s="3664">
        <f t="shared" si="4"/>
        <v>2.65</v>
      </c>
      <c r="F50" s="1654"/>
      <c r="G50" s="4377"/>
      <c r="H50" s="4377"/>
      <c r="I50" s="4377"/>
      <c r="J50" s="4377"/>
      <c r="K50" s="4377"/>
      <c r="L50" s="4377"/>
      <c r="M50" s="4377"/>
      <c r="N50" s="4377"/>
      <c r="O50" s="4377"/>
      <c r="P50" s="4377"/>
      <c r="Q50" s="4377"/>
      <c r="R50" s="4377"/>
      <c r="S50" s="4377"/>
      <c r="T50" s="4377"/>
      <c r="U50" s="4377"/>
      <c r="V50" s="4377"/>
      <c r="W50" s="4377"/>
      <c r="X50" s="4377"/>
      <c r="Y50" s="492"/>
      <c r="Z50" s="2625">
        <v>20</v>
      </c>
      <c r="AA50" s="2811">
        <v>0.877</v>
      </c>
      <c r="AB50" s="1182"/>
      <c r="AC50" s="1186"/>
      <c r="AD50" s="1182"/>
      <c r="AE50" s="1182"/>
      <c r="AF50" s="1182"/>
      <c r="AG50" s="1757"/>
      <c r="AH50" s="1757"/>
      <c r="AI50" s="1757"/>
      <c r="AJ50" s="1642"/>
    </row>
    <row r="51" spans="1:36" ht="15" customHeight="1">
      <c r="A51" s="492"/>
      <c r="B51" s="3665" t="s">
        <v>983</v>
      </c>
      <c r="C51" s="3662">
        <v>2.2000000000000002</v>
      </c>
      <c r="D51" s="3663">
        <v>3</v>
      </c>
      <c r="E51" s="3664">
        <f t="shared" si="4"/>
        <v>2.6</v>
      </c>
      <c r="F51" s="1654"/>
      <c r="G51" s="4377"/>
      <c r="H51" s="4377"/>
      <c r="I51" s="4377"/>
      <c r="J51" s="4377"/>
      <c r="K51" s="4377"/>
      <c r="L51" s="4377"/>
      <c r="M51" s="4377"/>
      <c r="N51" s="4377"/>
      <c r="O51" s="4377"/>
      <c r="P51" s="4377"/>
      <c r="Q51" s="4377"/>
      <c r="R51" s="4377"/>
      <c r="S51" s="4377"/>
      <c r="T51" s="4377"/>
      <c r="U51" s="4377"/>
      <c r="V51" s="4377"/>
      <c r="W51" s="4377"/>
      <c r="X51" s="4377"/>
      <c r="Y51" s="492"/>
      <c r="Z51" s="2625">
        <f>(Z50+Z52)/2</f>
        <v>20.5</v>
      </c>
      <c r="AA51" s="2625">
        <f>(AA50+AA52)/2</f>
        <v>0.86450000000000005</v>
      </c>
      <c r="AB51" s="425"/>
      <c r="AC51" s="1186"/>
      <c r="AD51" s="1182"/>
      <c r="AE51" s="1182"/>
      <c r="AF51" s="1182"/>
      <c r="AG51" s="1757"/>
      <c r="AH51" s="1757"/>
      <c r="AI51" s="1757"/>
      <c r="AJ51" s="1642"/>
    </row>
    <row r="52" spans="1:36" ht="15" customHeight="1">
      <c r="A52" s="492"/>
      <c r="B52" s="1893" t="s">
        <v>985</v>
      </c>
      <c r="C52" s="3662">
        <v>1.7</v>
      </c>
      <c r="D52" s="3663">
        <v>2.2999999999999998</v>
      </c>
      <c r="E52" s="3664">
        <f t="shared" si="4"/>
        <v>2</v>
      </c>
      <c r="F52" s="1654"/>
      <c r="G52" s="4379" t="s">
        <v>984</v>
      </c>
      <c r="H52" s="4379"/>
      <c r="I52" s="4379"/>
      <c r="J52" s="4379"/>
      <c r="K52" s="4379"/>
      <c r="L52" s="4379"/>
      <c r="M52" s="1648"/>
      <c r="N52" s="1648"/>
      <c r="O52" s="1648"/>
      <c r="P52" s="1648"/>
      <c r="Q52" s="1648"/>
      <c r="R52" s="1648"/>
      <c r="S52" s="1648"/>
      <c r="T52" s="1648"/>
      <c r="U52" s="1648"/>
      <c r="V52" s="1648"/>
      <c r="W52" s="1648"/>
      <c r="X52" s="1648"/>
      <c r="Y52" s="492"/>
      <c r="Z52" s="2625">
        <v>21</v>
      </c>
      <c r="AA52" s="2811">
        <v>0.85199999999999998</v>
      </c>
      <c r="AB52" s="425"/>
      <c r="AC52" s="1182"/>
      <c r="AD52" s="1182"/>
      <c r="AE52" s="1182"/>
      <c r="AF52" s="1182"/>
      <c r="AG52" s="1757"/>
      <c r="AH52" s="1757"/>
      <c r="AI52" s="1757"/>
      <c r="AJ52" s="1642"/>
    </row>
    <row r="53" spans="1:36" ht="15" customHeight="1">
      <c r="A53" s="492"/>
      <c r="B53" s="3665" t="s">
        <v>986</v>
      </c>
      <c r="C53" s="3669">
        <v>3.7</v>
      </c>
      <c r="D53" s="3670">
        <v>4.7</v>
      </c>
      <c r="E53" s="3671">
        <f t="shared" si="4"/>
        <v>4.2</v>
      </c>
      <c r="F53" s="1654"/>
      <c r="G53" s="4380" t="s">
        <v>1686</v>
      </c>
      <c r="H53" s="4380"/>
      <c r="I53" s="4380"/>
      <c r="J53" s="4380"/>
      <c r="K53" s="4380"/>
      <c r="L53" s="4380"/>
      <c r="M53" s="4380"/>
      <c r="N53" s="4380"/>
      <c r="O53" s="4380"/>
      <c r="P53" s="4380"/>
      <c r="Q53" s="4380"/>
      <c r="R53" s="4380"/>
      <c r="S53" s="4380"/>
      <c r="T53" s="4380"/>
      <c r="U53" s="4380"/>
      <c r="V53" s="4380"/>
      <c r="W53" s="4380"/>
      <c r="X53" s="4380"/>
      <c r="Y53" s="492"/>
      <c r="Z53" s="2625">
        <f>(Z52+Z54)/2</f>
        <v>21.5</v>
      </c>
      <c r="AA53" s="2625">
        <f>(AA52+AA54)/2</f>
        <v>0.83949999999999991</v>
      </c>
      <c r="AB53" s="358"/>
      <c r="AC53" s="524"/>
      <c r="AD53" s="524"/>
      <c r="AE53" s="524"/>
      <c r="AF53" s="524"/>
      <c r="AG53" s="1757"/>
      <c r="AH53" s="1757"/>
      <c r="AI53" s="1757"/>
      <c r="AJ53" s="1642"/>
    </row>
    <row r="54" spans="1:36" ht="15" customHeight="1">
      <c r="A54" s="492"/>
      <c r="B54" s="4381" t="str">
        <f>"(Where `"&amp;FIXED((C53+D53)/2)&amp;"` would indicate "&amp;FIXED((C53+D53)/2)&amp;" litres CO2 dissolved per 1 litre of beer.)"</f>
        <v>(Where `4.20` would indicate 4.20 litres CO2 dissolved per 1 litre of beer.)</v>
      </c>
      <c r="C54" s="4382"/>
      <c r="D54" s="4382"/>
      <c r="E54" s="4383"/>
      <c r="F54" s="1654"/>
      <c r="G54" s="4380"/>
      <c r="H54" s="4380"/>
      <c r="I54" s="4380"/>
      <c r="J54" s="4380"/>
      <c r="K54" s="4380"/>
      <c r="L54" s="4380"/>
      <c r="M54" s="4380"/>
      <c r="N54" s="4380"/>
      <c r="O54" s="4380"/>
      <c r="P54" s="4380"/>
      <c r="Q54" s="4380"/>
      <c r="R54" s="4380"/>
      <c r="S54" s="4380"/>
      <c r="T54" s="4380"/>
      <c r="U54" s="4380"/>
      <c r="V54" s="4380"/>
      <c r="W54" s="4380"/>
      <c r="X54" s="4380"/>
      <c r="Y54" s="492"/>
      <c r="Z54" s="2625">
        <v>22</v>
      </c>
      <c r="AA54" s="2811">
        <v>0.82699999999999996</v>
      </c>
      <c r="AB54" s="358"/>
      <c r="AC54" s="524"/>
      <c r="AD54" s="524"/>
      <c r="AE54" s="524"/>
      <c r="AF54" s="524"/>
      <c r="AG54" s="1757"/>
      <c r="AH54" s="1757"/>
      <c r="AI54" s="1757"/>
      <c r="AJ54" s="1642"/>
    </row>
    <row r="55" spans="1:36" ht="15" customHeight="1">
      <c r="A55" s="492"/>
      <c r="B55" s="1675"/>
      <c r="C55" s="1675"/>
      <c r="D55" s="1675"/>
      <c r="E55" s="1675"/>
      <c r="F55" s="1675"/>
      <c r="G55" s="1675"/>
      <c r="H55" s="558"/>
      <c r="I55" s="558"/>
      <c r="J55" s="558"/>
      <c r="K55" s="558"/>
      <c r="L55" s="558"/>
      <c r="M55" s="558"/>
      <c r="N55" s="558"/>
      <c r="O55" s="558"/>
      <c r="P55" s="558"/>
      <c r="Q55" s="558"/>
      <c r="R55" s="558"/>
      <c r="S55" s="558"/>
      <c r="T55" s="558"/>
      <c r="U55" s="558"/>
      <c r="V55" s="558"/>
      <c r="W55" s="558"/>
      <c r="X55" s="558"/>
      <c r="Y55" s="492"/>
      <c r="Z55" s="2625">
        <f>(Z54+Z56)/2</f>
        <v>22.5</v>
      </c>
      <c r="AA55" s="2625">
        <f>(AA54+AA56)/2</f>
        <v>0.8145</v>
      </c>
      <c r="AB55" s="358"/>
      <c r="AC55" s="524"/>
      <c r="AD55" s="524"/>
      <c r="AE55" s="524"/>
      <c r="AF55" s="524"/>
      <c r="AG55" s="1757"/>
      <c r="AH55" s="1757"/>
      <c r="AI55" s="1757"/>
      <c r="AJ55" s="1642"/>
    </row>
    <row r="56" spans="1:36" ht="15" customHeight="1">
      <c r="A56" s="492"/>
      <c r="B56" s="492"/>
      <c r="C56" s="344"/>
      <c r="D56" s="492"/>
      <c r="E56" s="492"/>
      <c r="F56" s="492"/>
      <c r="G56" s="492"/>
      <c r="H56" s="530"/>
      <c r="I56" s="530"/>
      <c r="J56" s="530"/>
      <c r="K56" s="530"/>
      <c r="L56" s="530"/>
      <c r="M56" s="530"/>
      <c r="N56" s="530"/>
      <c r="O56" s="530"/>
      <c r="P56" s="530"/>
      <c r="Q56" s="530"/>
      <c r="R56" s="530"/>
      <c r="S56" s="530"/>
      <c r="T56" s="530"/>
      <c r="U56" s="530"/>
      <c r="V56" s="530"/>
      <c r="W56" s="530"/>
      <c r="X56" s="558"/>
      <c r="Y56" s="492"/>
      <c r="Z56" s="2625">
        <v>23</v>
      </c>
      <c r="AA56" s="2811">
        <v>0.80200000000000005</v>
      </c>
      <c r="AB56" s="358"/>
      <c r="AC56" s="524"/>
      <c r="AD56" s="524"/>
      <c r="AE56" s="524"/>
      <c r="AF56" s="524"/>
      <c r="AG56" s="1757"/>
      <c r="AH56" s="1757"/>
      <c r="AI56" s="1757"/>
      <c r="AJ56" s="1642"/>
    </row>
    <row r="57" spans="1:36" ht="15" customHeight="1">
      <c r="A57" s="1188"/>
      <c r="B57" s="1189" t="s">
        <v>987</v>
      </c>
      <c r="C57" s="1190">
        <v>3.15</v>
      </c>
      <c r="D57" s="4068" t="str">
        <f>"g, this is equal to "&amp;FIXED(C57/R57)&amp;"  level 5ml tsp (1 tsp holds "&amp;R57&amp;"g sugar)"</f>
        <v>g, this is equal to 1.00  level 5ml tsp (1 tsp holds 3.15g sugar)</v>
      </c>
      <c r="E57" s="4068"/>
      <c r="F57" s="4068"/>
      <c r="G57" s="4068"/>
      <c r="H57" s="4068"/>
      <c r="I57" s="4068"/>
      <c r="J57" s="4068"/>
      <c r="K57" s="4068"/>
      <c r="L57" s="4068"/>
      <c r="M57" s="4068"/>
      <c r="N57" s="4068"/>
      <c r="O57" s="530"/>
      <c r="P57" s="4371" t="s">
        <v>988</v>
      </c>
      <c r="Q57" s="4371"/>
      <c r="R57" s="970">
        <v>3.15</v>
      </c>
      <c r="S57" s="447" t="s">
        <v>40</v>
      </c>
      <c r="T57" s="524"/>
      <c r="U57" s="514"/>
      <c r="V57" s="1191"/>
      <c r="W57" s="1191"/>
      <c r="X57" s="558"/>
      <c r="Y57" s="492"/>
      <c r="Z57" s="2625">
        <f>(Z56+Z58)/2</f>
        <v>23.5</v>
      </c>
      <c r="AA57" s="2625">
        <f>(AA56+AA58)/2</f>
        <v>0.79150000000000009</v>
      </c>
      <c r="AB57" s="358"/>
      <c r="AC57" s="524"/>
      <c r="AD57" s="524"/>
      <c r="AE57" s="524"/>
      <c r="AF57" s="524"/>
      <c r="AG57" s="1757"/>
      <c r="AH57" s="1757"/>
      <c r="AI57" s="1757"/>
      <c r="AJ57" s="1642"/>
    </row>
    <row r="58" spans="1:36" ht="15" customHeight="1">
      <c r="A58" s="492"/>
      <c r="B58" s="344"/>
      <c r="C58" s="4372" t="s">
        <v>989</v>
      </c>
      <c r="D58" s="4372"/>
      <c r="E58" s="4373" t="s">
        <v>990</v>
      </c>
      <c r="F58" s="4373"/>
      <c r="G58" s="4373" t="s">
        <v>991</v>
      </c>
      <c r="H58" s="4373"/>
      <c r="I58" s="4373" t="s">
        <v>992</v>
      </c>
      <c r="J58" s="4373"/>
      <c r="K58" s="4373" t="s">
        <v>993</v>
      </c>
      <c r="L58" s="4373"/>
      <c r="M58" s="3672">
        <v>1.25</v>
      </c>
      <c r="N58" s="1424" t="s">
        <v>994</v>
      </c>
      <c r="O58" s="530"/>
      <c r="P58" s="4374" t="s">
        <v>995</v>
      </c>
      <c r="Q58" s="4374"/>
      <c r="R58" s="4374"/>
      <c r="S58" s="4374"/>
      <c r="T58" s="4374"/>
      <c r="U58" s="4384" t="s">
        <v>996</v>
      </c>
      <c r="V58" s="4385"/>
      <c r="W58" s="4385"/>
      <c r="X58" s="558"/>
      <c r="Y58" s="492"/>
      <c r="Z58" s="2625">
        <v>24</v>
      </c>
      <c r="AA58" s="2811">
        <v>0.78100000000000003</v>
      </c>
      <c r="AB58" s="358"/>
      <c r="AC58" s="524"/>
      <c r="AD58" s="524"/>
      <c r="AE58" s="524"/>
      <c r="AF58" s="524"/>
      <c r="AG58" s="1757"/>
      <c r="AH58" s="1757"/>
      <c r="AI58" s="1757"/>
      <c r="AJ58" s="1642"/>
    </row>
    <row r="59" spans="1:36" ht="15" customHeight="1">
      <c r="A59" s="1192"/>
      <c r="B59" s="1193"/>
      <c r="C59" s="4387" t="s">
        <v>997</v>
      </c>
      <c r="D59" s="4387"/>
      <c r="E59" s="4388" t="s">
        <v>998</v>
      </c>
      <c r="F59" s="4388"/>
      <c r="G59" s="4388" t="s">
        <v>999</v>
      </c>
      <c r="H59" s="4388"/>
      <c r="I59" s="4388" t="s">
        <v>1000</v>
      </c>
      <c r="J59" s="4388"/>
      <c r="K59" s="4388" t="s">
        <v>998</v>
      </c>
      <c r="L59" s="4388"/>
      <c r="M59" s="4388" t="str">
        <f>1000*M58&amp;" ml"</f>
        <v>1250 ml</v>
      </c>
      <c r="N59" s="4388"/>
      <c r="O59" s="530"/>
      <c r="P59" s="4374" t="s">
        <v>61</v>
      </c>
      <c r="Q59" s="4374"/>
      <c r="R59" s="3701" t="s">
        <v>62</v>
      </c>
      <c r="S59" s="4389" t="s">
        <v>63</v>
      </c>
      <c r="T59" s="4389"/>
      <c r="U59" s="4386"/>
      <c r="V59" s="4385"/>
      <c r="W59" s="4385"/>
      <c r="X59" s="558"/>
      <c r="Y59" s="492"/>
      <c r="Z59" s="2625">
        <f>(Z58+Z60)/2</f>
        <v>24.5</v>
      </c>
      <c r="AA59" s="2625">
        <f>(AA58+AA60)/2</f>
        <v>0.77</v>
      </c>
      <c r="AB59" s="358"/>
      <c r="AC59" s="524"/>
      <c r="AD59" s="524"/>
      <c r="AE59" s="524"/>
      <c r="AF59" s="524"/>
      <c r="AG59" s="1757"/>
      <c r="AH59" s="1757"/>
      <c r="AI59" s="1757"/>
      <c r="AJ59" s="1642"/>
    </row>
    <row r="60" spans="1:36" ht="15" customHeight="1">
      <c r="A60" s="1192"/>
      <c r="B60" s="1194"/>
      <c r="C60" s="4400" t="s">
        <v>1001</v>
      </c>
      <c r="D60" s="4400"/>
      <c r="E60" s="4401" t="str">
        <f>FIXED(2*$C57,3)&amp;" g"</f>
        <v>6.300 g</v>
      </c>
      <c r="F60" s="4401"/>
      <c r="G60" s="4401" t="str">
        <f>FIXED(1*$C57,3)&amp;" g"</f>
        <v>3.150 g</v>
      </c>
      <c r="H60" s="4401"/>
      <c r="I60" s="4401" t="str">
        <f>FIXED(0.5*$C57,3)&amp;" g"</f>
        <v>1.575 g</v>
      </c>
      <c r="J60" s="4401"/>
      <c r="K60" s="4401" t="str">
        <f>FIXED(0.25*$C57,3)&amp;" g"</f>
        <v>0.788 g</v>
      </c>
      <c r="L60" s="4401"/>
      <c r="M60" s="4401" t="str">
        <f>FIXED(M58*$C57,3)&amp;" g"</f>
        <v>3.938 g</v>
      </c>
      <c r="N60" s="4401"/>
      <c r="O60" s="530"/>
      <c r="P60" s="4396">
        <f>R60*R57</f>
        <v>236.25</v>
      </c>
      <c r="Q60" s="4396"/>
      <c r="R60" s="3804">
        <v>75</v>
      </c>
      <c r="S60" s="4374">
        <f>R60/R57</f>
        <v>23.80952380952381</v>
      </c>
      <c r="T60" s="4374"/>
      <c r="U60" s="1195"/>
      <c r="V60" s="1196"/>
      <c r="W60" s="1196"/>
      <c r="X60" s="558"/>
      <c r="Y60" s="492"/>
      <c r="Z60" s="2625">
        <v>25</v>
      </c>
      <c r="AA60" s="2811">
        <v>0.75900000000000001</v>
      </c>
      <c r="AB60" s="358"/>
      <c r="AC60" s="524"/>
      <c r="AD60" s="524"/>
      <c r="AE60" s="524"/>
      <c r="AF60" s="524"/>
      <c r="AG60" s="1757"/>
      <c r="AH60" s="1757"/>
      <c r="AI60" s="1757"/>
      <c r="AJ60" s="1642"/>
    </row>
    <row r="61" spans="1:36" ht="15" customHeight="1">
      <c r="A61" s="1192"/>
      <c r="B61" s="1194"/>
      <c r="C61" s="4397" t="s">
        <v>997</v>
      </c>
      <c r="D61" s="4398"/>
      <c r="E61" s="4399" t="str">
        <f>FIXED((2*$C57/R57),3)&amp;" tsp"</f>
        <v>2.000 tsp</v>
      </c>
      <c r="F61" s="4399"/>
      <c r="G61" s="4388" t="str">
        <f>FIXED((1*$C57/R57),3)&amp;" tsp"</f>
        <v>1.000 tsp</v>
      </c>
      <c r="H61" s="4388"/>
      <c r="I61" s="4388" t="str">
        <f>FIXED((0.5*$C57/R57),3)&amp;" tsp"</f>
        <v>0.500 tsp</v>
      </c>
      <c r="J61" s="4388"/>
      <c r="K61" s="4388" t="str">
        <f>FIXED((0.25*$C57/R57),3)&amp;" tsp"</f>
        <v>0.250 tsp</v>
      </c>
      <c r="L61" s="4388"/>
      <c r="M61" s="4388" t="str">
        <f>FIXED((M58*$C57/R57),3)&amp;" tsp"</f>
        <v>1.250 tsp</v>
      </c>
      <c r="N61" s="4388"/>
      <c r="O61" s="530"/>
      <c r="P61" s="1194"/>
      <c r="Q61" s="1194"/>
      <c r="R61" s="1194"/>
      <c r="S61" s="1194"/>
      <c r="T61" s="1194"/>
      <c r="U61" s="1194"/>
      <c r="V61" s="1194"/>
      <c r="W61" s="492"/>
      <c r="X61" s="558"/>
      <c r="Y61" s="492"/>
      <c r="Z61" s="2625">
        <f>(Z60+Z62)/2</f>
        <v>25.5</v>
      </c>
      <c r="AA61" s="2625">
        <f>(AA60+AA62)/2</f>
        <v>0.74849999999999994</v>
      </c>
      <c r="AB61" s="358"/>
      <c r="AC61" s="524"/>
      <c r="AD61" s="524"/>
      <c r="AE61" s="524"/>
      <c r="AF61" s="524"/>
      <c r="AG61" s="1757"/>
      <c r="AH61" s="1757"/>
      <c r="AI61" s="1757"/>
      <c r="AJ61" s="558"/>
    </row>
    <row r="62" spans="1:36" ht="15" customHeight="1">
      <c r="A62" s="1192"/>
      <c r="B62" s="1192"/>
      <c r="C62" s="1192"/>
      <c r="D62" s="1192"/>
      <c r="E62" s="1192"/>
      <c r="F62" s="1192"/>
      <c r="G62" s="1192"/>
      <c r="H62" s="1192"/>
      <c r="I62" s="1192"/>
      <c r="J62" s="1655"/>
      <c r="K62" s="1655"/>
      <c r="L62" s="1655"/>
      <c r="M62" s="1655"/>
      <c r="N62" s="1655"/>
      <c r="O62" s="530"/>
      <c r="P62" s="4389" t="s">
        <v>218</v>
      </c>
      <c r="Q62" s="4389"/>
      <c r="R62" s="4389" t="s">
        <v>1002</v>
      </c>
      <c r="S62" s="4389"/>
      <c r="T62" s="4389" t="s">
        <v>1807</v>
      </c>
      <c r="U62" s="4389"/>
      <c r="V62" s="1192"/>
      <c r="W62" s="1192"/>
      <c r="X62" s="558"/>
      <c r="Y62" s="492"/>
      <c r="Z62" s="2625">
        <v>26</v>
      </c>
      <c r="AA62" s="2811">
        <v>0.73799999999999999</v>
      </c>
      <c r="AB62" s="358"/>
      <c r="AC62" s="524"/>
      <c r="AD62" s="524"/>
      <c r="AE62" s="524"/>
      <c r="AF62" s="524"/>
      <c r="AG62" s="1757"/>
      <c r="AH62" s="1757"/>
      <c r="AI62" s="1757"/>
      <c r="AJ62" s="558"/>
    </row>
    <row r="63" spans="1:36" ht="15" customHeight="1">
      <c r="A63" s="1192"/>
      <c r="B63" s="1649" t="s">
        <v>1003</v>
      </c>
      <c r="C63" s="3395">
        <v>3.15</v>
      </c>
      <c r="D63" s="4390" t="str">
        <f>"gram ̸ litre is equivalent to "&amp;FIXED(H63*C63,1)&amp;"g in"</f>
        <v>gram ̸ litre is equivalent to 72.5g in</v>
      </c>
      <c r="E63" s="4390"/>
      <c r="F63" s="4390"/>
      <c r="G63" s="4390"/>
      <c r="H63" s="3206">
        <v>23</v>
      </c>
      <c r="I63" s="4391" t="s">
        <v>1894</v>
      </c>
      <c r="J63" s="4392"/>
      <c r="K63" s="4393"/>
      <c r="L63" s="1655"/>
      <c r="M63" s="1192"/>
      <c r="N63" s="3606"/>
      <c r="O63" s="530"/>
      <c r="P63" s="4374">
        <f>R63*0.2489/0.262</f>
        <v>2.9925000000000002</v>
      </c>
      <c r="Q63" s="4374"/>
      <c r="R63" s="4394">
        <v>3.15</v>
      </c>
      <c r="S63" s="4394"/>
      <c r="T63" s="4395">
        <f>R63*0.262/0.2489</f>
        <v>3.3157894736842106</v>
      </c>
      <c r="U63" s="4395"/>
      <c r="V63" s="1192"/>
      <c r="W63" s="1192"/>
      <c r="X63" s="558"/>
      <c r="Y63" s="492"/>
      <c r="Z63" s="2625">
        <v>27</v>
      </c>
      <c r="AA63" s="2811">
        <v>0.71799999999999997</v>
      </c>
      <c r="AB63" s="358"/>
      <c r="AC63" s="524"/>
      <c r="AD63" s="524"/>
      <c r="AE63" s="524"/>
      <c r="AF63" s="524"/>
      <c r="AG63" s="1757"/>
      <c r="AH63" s="1757"/>
      <c r="AI63" s="1757"/>
      <c r="AJ63" s="558"/>
    </row>
    <row r="64" spans="1:36" ht="15" customHeight="1">
      <c r="A64" s="1192"/>
      <c r="B64" s="1192"/>
      <c r="C64" s="4225" t="s">
        <v>1716</v>
      </c>
      <c r="D64" s="4225"/>
      <c r="E64" s="1192"/>
      <c r="F64" s="1192"/>
      <c r="G64" s="1192"/>
      <c r="H64" s="1192"/>
      <c r="I64" s="1192"/>
      <c r="J64" s="1192"/>
      <c r="K64" s="1192"/>
      <c r="L64" s="1655"/>
      <c r="M64" s="1192"/>
      <c r="N64" s="514"/>
      <c r="O64" s="530"/>
      <c r="P64" s="4409" t="str">
        <f>1*FIXED(R63)&amp;" unit(s) of sucrose = "&amp;1*FIXED(T63)&amp;" units of brewing"</f>
        <v>3.15 unit(s) of sucrose = 3.32 units of brewing</v>
      </c>
      <c r="Q64" s="4409"/>
      <c r="R64" s="4409"/>
      <c r="S64" s="4409"/>
      <c r="T64" s="4409"/>
      <c r="U64" s="4409"/>
      <c r="V64" s="1192"/>
      <c r="W64" s="1192"/>
      <c r="X64" s="558"/>
      <c r="Y64" s="492"/>
      <c r="Z64" s="2625">
        <v>28</v>
      </c>
      <c r="AA64" s="2811">
        <v>0.69899999999999995</v>
      </c>
      <c r="AB64" s="358"/>
      <c r="AC64" s="524"/>
      <c r="AD64" s="524"/>
      <c r="AE64" s="524"/>
      <c r="AF64" s="524"/>
      <c r="AG64" s="1757"/>
      <c r="AH64" s="1757"/>
      <c r="AI64" s="1757"/>
      <c r="AJ64" s="558"/>
    </row>
    <row r="65" spans="1:36" ht="15" customHeight="1">
      <c r="A65" s="1192"/>
      <c r="B65" s="1192"/>
      <c r="C65" s="1192"/>
      <c r="D65" s="1192"/>
      <c r="E65" s="1192"/>
      <c r="F65" s="1192"/>
      <c r="G65" s="1192"/>
      <c r="H65" s="1192"/>
      <c r="I65" s="1192"/>
      <c r="J65" s="1192"/>
      <c r="K65" s="1192"/>
      <c r="L65" s="1192"/>
      <c r="M65" s="1192"/>
      <c r="N65" s="514"/>
      <c r="O65" s="530"/>
      <c r="P65" s="4410" t="str">
        <f>1*FIXED(R63)&amp;" unit(s) of brewing = "&amp;1*FIXED(P63)&amp;" units of sucrose"</f>
        <v>3.15 unit(s) of brewing = 2.99 units of sucrose</v>
      </c>
      <c r="Q65" s="4410"/>
      <c r="R65" s="4410"/>
      <c r="S65" s="4410"/>
      <c r="T65" s="4410"/>
      <c r="U65" s="4410"/>
      <c r="V65" s="1192"/>
      <c r="W65" s="1192"/>
      <c r="X65" s="558"/>
      <c r="Y65" s="492"/>
      <c r="Z65" s="2625">
        <v>29</v>
      </c>
      <c r="AA65" s="2810">
        <v>0.68200000000000005</v>
      </c>
      <c r="AB65" s="358"/>
      <c r="AC65" s="524"/>
      <c r="AD65" s="524"/>
      <c r="AE65" s="524"/>
      <c r="AF65" s="524"/>
      <c r="AG65" s="1757"/>
      <c r="AH65" s="1757"/>
      <c r="AI65" s="1757"/>
      <c r="AJ65" s="558"/>
    </row>
    <row r="66" spans="1:36" ht="15" customHeight="1">
      <c r="A66" s="4402"/>
      <c r="B66" s="4402"/>
      <c r="C66" s="3717"/>
      <c r="D66" s="1197"/>
      <c r="E66" s="1197"/>
      <c r="F66" s="1197"/>
      <c r="G66" s="1197"/>
      <c r="H66" s="1197"/>
      <c r="I66" s="1197"/>
      <c r="J66" s="1197"/>
      <c r="K66" s="1197"/>
      <c r="L66" s="1197"/>
      <c r="M66" s="1197"/>
      <c r="N66" s="1197"/>
      <c r="O66" s="1197"/>
      <c r="P66" s="1197"/>
      <c r="Q66" s="1197"/>
      <c r="R66" s="1197"/>
      <c r="S66" s="1197"/>
      <c r="T66" s="1197"/>
      <c r="U66" s="1197"/>
      <c r="V66" s="1197"/>
      <c r="W66" s="492"/>
      <c r="X66" s="558"/>
      <c r="Y66" s="492"/>
      <c r="Z66" s="2003">
        <v>30</v>
      </c>
      <c r="AA66" s="2007">
        <v>0.66500000000000004</v>
      </c>
      <c r="AB66" s="358"/>
      <c r="AC66" s="524"/>
      <c r="AD66" s="524"/>
      <c r="AE66" s="524"/>
      <c r="AF66" s="524"/>
      <c r="AG66" s="1757"/>
      <c r="AH66" s="1757"/>
      <c r="AI66" s="1757"/>
      <c r="AJ66" s="558"/>
    </row>
    <row r="67" spans="1:36" ht="15" customHeight="1">
      <c r="A67" s="4402" t="s">
        <v>1004</v>
      </c>
      <c r="B67" s="4402"/>
      <c r="C67" s="3673"/>
      <c r="D67" s="3673"/>
      <c r="E67" s="3673"/>
      <c r="F67" s="3673"/>
      <c r="G67" s="3673"/>
      <c r="H67" s="3673"/>
      <c r="I67" s="1197"/>
      <c r="J67" s="1198"/>
      <c r="K67" s="1198"/>
      <c r="L67" s="1198"/>
      <c r="M67" s="1198"/>
      <c r="N67" s="1199"/>
      <c r="O67" s="1199"/>
      <c r="P67" s="1199"/>
      <c r="Q67" s="1194"/>
      <c r="R67" s="1194"/>
      <c r="S67" s="1194"/>
      <c r="T67" s="1194"/>
      <c r="U67" s="1194"/>
      <c r="V67" s="1194"/>
      <c r="W67" s="1194"/>
      <c r="X67" s="558"/>
      <c r="Y67" s="492"/>
      <c r="Z67" s="2001"/>
      <c r="AA67" s="2001"/>
      <c r="AB67" s="358"/>
      <c r="AC67" s="524"/>
      <c r="AD67" s="524"/>
      <c r="AE67" s="524"/>
      <c r="AF67" s="524"/>
      <c r="AG67" s="1757"/>
      <c r="AH67" s="1757"/>
      <c r="AI67" s="1757"/>
      <c r="AJ67" s="558"/>
    </row>
    <row r="68" spans="1:36" ht="15" customHeight="1">
      <c r="A68" s="1192"/>
      <c r="B68" s="1650" t="s">
        <v>1005</v>
      </c>
      <c r="C68" s="4403" t="s">
        <v>1006</v>
      </c>
      <c r="D68" s="4403"/>
      <c r="E68" s="4403" t="s">
        <v>1007</v>
      </c>
      <c r="F68" s="4403"/>
      <c r="G68" s="4403" t="s">
        <v>1008</v>
      </c>
      <c r="H68" s="4403"/>
      <c r="I68" s="4404" t="s">
        <v>1933</v>
      </c>
      <c r="J68" s="4405"/>
      <c r="K68" s="4405"/>
      <c r="L68" s="4405"/>
      <c r="M68" s="4405"/>
      <c r="N68" s="4405"/>
      <c r="O68" s="4406"/>
      <c r="P68" s="4403" t="s">
        <v>1006</v>
      </c>
      <c r="Q68" s="4403"/>
      <c r="R68" s="4403" t="s">
        <v>1007</v>
      </c>
      <c r="S68" s="4403"/>
      <c r="T68" s="4403" t="s">
        <v>1008</v>
      </c>
      <c r="U68" s="4403"/>
      <c r="V68" s="4407" t="s">
        <v>1009</v>
      </c>
      <c r="W68" s="4407"/>
      <c r="X68" s="558"/>
      <c r="Y68" s="492"/>
      <c r="Z68" s="2001"/>
      <c r="AA68" s="2001"/>
      <c r="AB68" s="358"/>
      <c r="AC68" s="524"/>
      <c r="AD68" s="524"/>
      <c r="AE68" s="524"/>
      <c r="AF68" s="524"/>
      <c r="AG68" s="1757"/>
      <c r="AH68" s="1757"/>
      <c r="AI68" s="1757"/>
      <c r="AJ68" s="558"/>
    </row>
    <row r="69" spans="1:36" ht="15" customHeight="1">
      <c r="A69" s="492"/>
      <c r="B69" s="492"/>
      <c r="C69" s="4408" t="s">
        <v>40</v>
      </c>
      <c r="D69" s="4408"/>
      <c r="E69" s="4408" t="s">
        <v>27</v>
      </c>
      <c r="F69" s="4408"/>
      <c r="G69" s="4408" t="s">
        <v>27</v>
      </c>
      <c r="H69" s="4408"/>
      <c r="I69" s="514"/>
      <c r="J69" s="514"/>
      <c r="K69" s="514"/>
      <c r="L69" s="514"/>
      <c r="M69" s="514"/>
      <c r="N69" s="514"/>
      <c r="O69" s="514"/>
      <c r="P69" s="4408" t="s">
        <v>40</v>
      </c>
      <c r="Q69" s="4408"/>
      <c r="R69" s="4408" t="s">
        <v>27</v>
      </c>
      <c r="S69" s="4408"/>
      <c r="T69" s="4408" t="s">
        <v>27</v>
      </c>
      <c r="U69" s="4408"/>
      <c r="V69" s="4408"/>
      <c r="W69" s="4408"/>
      <c r="X69" s="558"/>
      <c r="Y69" s="492"/>
      <c r="Z69" s="2001"/>
      <c r="AA69" s="2001"/>
      <c r="AB69" s="358"/>
      <c r="AC69" s="524"/>
      <c r="AD69" s="524"/>
      <c r="AE69" s="524"/>
      <c r="AF69" s="524"/>
      <c r="AG69" s="1757"/>
      <c r="AH69" s="1757"/>
      <c r="AI69" s="1757"/>
      <c r="AJ69" s="558"/>
    </row>
    <row r="70" spans="1:36" ht="15" customHeight="1">
      <c r="A70" s="492"/>
      <c r="B70" s="492"/>
      <c r="C70" s="4427">
        <v>600</v>
      </c>
      <c r="D70" s="4427"/>
      <c r="E70" s="4428">
        <f>0.671*C70</f>
        <v>402.6</v>
      </c>
      <c r="F70" s="4428"/>
      <c r="G70" s="4429">
        <f>E70+(0.58*C70)</f>
        <v>750.6</v>
      </c>
      <c r="H70" s="4429"/>
      <c r="I70" s="1200"/>
      <c r="J70" s="558"/>
      <c r="K70" s="558"/>
      <c r="L70" s="558"/>
      <c r="M70" s="514"/>
      <c r="N70" s="514"/>
      <c r="O70" s="514"/>
      <c r="P70" s="4427">
        <v>600</v>
      </c>
      <c r="Q70" s="4427"/>
      <c r="R70" s="4427">
        <v>500</v>
      </c>
      <c r="S70" s="4427"/>
      <c r="T70" s="4429">
        <f>R70+(0.58*P70)</f>
        <v>848</v>
      </c>
      <c r="U70" s="4429"/>
      <c r="V70" s="4416">
        <f>1000+375*P70/T70</f>
        <v>1265.3301886792453</v>
      </c>
      <c r="W70" s="4416"/>
      <c r="X70" s="558"/>
      <c r="Y70" s="492"/>
      <c r="Z70" s="1588"/>
      <c r="AA70" s="1588"/>
      <c r="AB70" s="358"/>
      <c r="AC70" s="524"/>
      <c r="AD70" s="524"/>
      <c r="AE70" s="524"/>
      <c r="AF70" s="524"/>
      <c r="AG70" s="1757"/>
      <c r="AH70" s="1757"/>
      <c r="AI70" s="1757"/>
      <c r="AJ70" s="558"/>
    </row>
    <row r="71" spans="1:36" ht="15" customHeight="1">
      <c r="A71" s="492"/>
      <c r="B71" s="492"/>
      <c r="C71" s="492"/>
      <c r="D71" s="492"/>
      <c r="E71" s="492"/>
      <c r="F71" s="492"/>
      <c r="G71" s="492"/>
      <c r="H71" s="492"/>
      <c r="I71" s="492"/>
      <c r="J71" s="492"/>
      <c r="K71" s="492"/>
      <c r="L71" s="492"/>
      <c r="M71" s="492"/>
      <c r="N71" s="492"/>
      <c r="O71" s="492"/>
      <c r="P71" s="492"/>
      <c r="Q71" s="492"/>
      <c r="R71" s="492"/>
      <c r="S71" s="492"/>
      <c r="T71" s="492"/>
      <c r="U71" s="492"/>
      <c r="V71" s="492"/>
      <c r="W71" s="492"/>
      <c r="X71" s="558"/>
      <c r="Y71" s="492"/>
      <c r="Z71" s="1588"/>
      <c r="AA71" s="1588"/>
      <c r="AB71" s="358"/>
      <c r="AC71" s="524"/>
      <c r="AD71" s="524"/>
      <c r="AE71" s="524"/>
      <c r="AF71" s="524"/>
      <c r="AG71" s="1757"/>
      <c r="AH71" s="1757"/>
      <c r="AI71" s="1757"/>
      <c r="AJ71" s="1642"/>
    </row>
    <row r="72" spans="1:36" ht="15" customHeight="1">
      <c r="A72" s="4229" t="s">
        <v>1010</v>
      </c>
      <c r="B72" s="4229"/>
      <c r="C72" s="4312" t="s">
        <v>1951</v>
      </c>
      <c r="D72" s="4312"/>
      <c r="E72" s="492"/>
      <c r="F72" s="492"/>
      <c r="G72" s="492"/>
      <c r="H72" s="492"/>
      <c r="I72" s="492"/>
      <c r="J72" s="492"/>
      <c r="K72" s="492"/>
      <c r="L72" s="492"/>
      <c r="M72" s="492"/>
      <c r="N72" s="492"/>
      <c r="O72" s="492"/>
      <c r="P72" s="492"/>
      <c r="Q72" s="492"/>
      <c r="R72" s="492"/>
      <c r="S72" s="492"/>
      <c r="T72" s="492"/>
      <c r="U72" s="492"/>
      <c r="V72" s="492"/>
      <c r="W72" s="492"/>
      <c r="X72" s="492"/>
      <c r="Y72" s="492"/>
      <c r="Z72" s="1588"/>
      <c r="AA72" s="1588"/>
      <c r="AB72" s="358"/>
      <c r="AC72" s="524"/>
      <c r="AD72" s="524"/>
      <c r="AE72" s="524"/>
      <c r="AF72" s="524"/>
      <c r="AG72" s="1757"/>
      <c r="AH72" s="1757"/>
      <c r="AI72" s="1757"/>
      <c r="AJ72" s="1642"/>
    </row>
    <row r="73" spans="1:36" ht="15" customHeight="1">
      <c r="A73" s="3700"/>
      <c r="B73" s="4417"/>
      <c r="C73" s="4418"/>
      <c r="D73" s="4418"/>
      <c r="E73" s="4418"/>
      <c r="F73" s="4418"/>
      <c r="G73" s="4418"/>
      <c r="H73" s="4418"/>
      <c r="I73" s="4418"/>
      <c r="J73" s="4418"/>
      <c r="K73" s="4418"/>
      <c r="L73" s="4418"/>
      <c r="M73" s="4418"/>
      <c r="N73" s="4418"/>
      <c r="O73" s="4418"/>
      <c r="P73" s="4418"/>
      <c r="Q73" s="4418"/>
      <c r="R73" s="4418"/>
      <c r="S73" s="4418"/>
      <c r="T73" s="4418"/>
      <c r="U73" s="4418"/>
      <c r="V73" s="4418"/>
      <c r="W73" s="4418"/>
      <c r="X73" s="4419"/>
      <c r="Y73" s="1651"/>
      <c r="Z73" s="1588"/>
      <c r="AA73" s="1588"/>
      <c r="AB73" s="358"/>
      <c r="AC73" s="524"/>
      <c r="AD73" s="524"/>
      <c r="AE73" s="524"/>
      <c r="AF73" s="358"/>
      <c r="AG73" s="1757"/>
      <c r="AH73" s="1757"/>
      <c r="AI73" s="1757"/>
      <c r="AJ73" s="1642"/>
    </row>
    <row r="74" spans="1:36" ht="15" customHeight="1">
      <c r="A74" s="492"/>
      <c r="B74" s="4420"/>
      <c r="C74" s="4421"/>
      <c r="D74" s="4421"/>
      <c r="E74" s="4421"/>
      <c r="F74" s="4421"/>
      <c r="G74" s="4421"/>
      <c r="H74" s="4421"/>
      <c r="I74" s="4421"/>
      <c r="J74" s="4421"/>
      <c r="K74" s="4421"/>
      <c r="L74" s="4421"/>
      <c r="M74" s="4421"/>
      <c r="N74" s="4421"/>
      <c r="O74" s="4421"/>
      <c r="P74" s="4421"/>
      <c r="Q74" s="4421"/>
      <c r="R74" s="4421"/>
      <c r="S74" s="4421"/>
      <c r="T74" s="4421"/>
      <c r="U74" s="4421"/>
      <c r="V74" s="4421"/>
      <c r="W74" s="4421"/>
      <c r="X74" s="4422"/>
      <c r="Y74" s="1651"/>
      <c r="Z74" s="524"/>
      <c r="AA74" s="524"/>
      <c r="AB74" s="358"/>
      <c r="AC74" s="524"/>
      <c r="AD74" s="524"/>
      <c r="AE74" s="524"/>
      <c r="AF74" s="358"/>
      <c r="AG74" s="1757"/>
      <c r="AH74" s="1757"/>
      <c r="AI74" s="1757"/>
      <c r="AJ74" s="1642"/>
    </row>
    <row r="75" spans="1:36" ht="15" customHeight="1">
      <c r="A75" s="492"/>
      <c r="B75" s="4420"/>
      <c r="C75" s="4421"/>
      <c r="D75" s="4421"/>
      <c r="E75" s="4421"/>
      <c r="F75" s="4421"/>
      <c r="G75" s="4421"/>
      <c r="H75" s="4421"/>
      <c r="I75" s="4421"/>
      <c r="J75" s="4421"/>
      <c r="K75" s="4421"/>
      <c r="L75" s="4421"/>
      <c r="M75" s="4421"/>
      <c r="N75" s="4421"/>
      <c r="O75" s="4421"/>
      <c r="P75" s="4421"/>
      <c r="Q75" s="4421"/>
      <c r="R75" s="4421"/>
      <c r="S75" s="4421"/>
      <c r="T75" s="4421"/>
      <c r="U75" s="4421"/>
      <c r="V75" s="4421"/>
      <c r="W75" s="4421"/>
      <c r="X75" s="4422"/>
      <c r="Y75" s="1651"/>
      <c r="Z75" s="524"/>
      <c r="AA75" s="524"/>
      <c r="AB75" s="358"/>
      <c r="AC75" s="524"/>
      <c r="AD75" s="524"/>
      <c r="AE75" s="524"/>
      <c r="AF75" s="358"/>
      <c r="AG75" s="1757"/>
      <c r="AH75" s="1757"/>
      <c r="AI75" s="1757"/>
      <c r="AJ75" s="1642"/>
    </row>
    <row r="76" spans="1:36" ht="15" customHeight="1">
      <c r="A76" s="492"/>
      <c r="B76" s="4420"/>
      <c r="C76" s="4421"/>
      <c r="D76" s="4421"/>
      <c r="E76" s="4421"/>
      <c r="F76" s="4421"/>
      <c r="G76" s="4421"/>
      <c r="H76" s="4421"/>
      <c r="I76" s="4421"/>
      <c r="J76" s="4421"/>
      <c r="K76" s="4421"/>
      <c r="L76" s="4421"/>
      <c r="M76" s="4421"/>
      <c r="N76" s="4421"/>
      <c r="O76" s="4421"/>
      <c r="P76" s="4421"/>
      <c r="Q76" s="4421"/>
      <c r="R76" s="4421"/>
      <c r="S76" s="4421"/>
      <c r="T76" s="4421"/>
      <c r="U76" s="4421"/>
      <c r="V76" s="4421"/>
      <c r="W76" s="4421"/>
      <c r="X76" s="4422"/>
      <c r="Y76" s="1651"/>
      <c r="Z76" s="524"/>
      <c r="AA76" s="524"/>
      <c r="AB76" s="358"/>
      <c r="AC76" s="524"/>
      <c r="AD76" s="524"/>
      <c r="AE76" s="524"/>
      <c r="AF76" s="358"/>
      <c r="AG76" s="1757"/>
      <c r="AH76" s="1757"/>
      <c r="AI76" s="1757"/>
      <c r="AJ76" s="1642"/>
    </row>
    <row r="77" spans="1:36" ht="15" customHeight="1">
      <c r="A77" s="492"/>
      <c r="B77" s="4420"/>
      <c r="C77" s="4421"/>
      <c r="D77" s="4421"/>
      <c r="E77" s="4421"/>
      <c r="F77" s="4421"/>
      <c r="G77" s="4421"/>
      <c r="H77" s="4421"/>
      <c r="I77" s="4421"/>
      <c r="J77" s="4421"/>
      <c r="K77" s="4421"/>
      <c r="L77" s="4421"/>
      <c r="M77" s="4421"/>
      <c r="N77" s="4421"/>
      <c r="O77" s="4421"/>
      <c r="P77" s="4421"/>
      <c r="Q77" s="4421"/>
      <c r="R77" s="4421"/>
      <c r="S77" s="4421"/>
      <c r="T77" s="4421"/>
      <c r="U77" s="4421"/>
      <c r="V77" s="4421"/>
      <c r="W77" s="4421"/>
      <c r="X77" s="4422"/>
      <c r="Y77" s="1651"/>
      <c r="Z77" s="524"/>
      <c r="AA77" s="524"/>
      <c r="AB77" s="358"/>
      <c r="AC77" s="524"/>
      <c r="AD77" s="524"/>
      <c r="AE77" s="524"/>
      <c r="AF77" s="358"/>
      <c r="AG77" s="1757"/>
      <c r="AH77" s="1757"/>
      <c r="AI77" s="1757"/>
      <c r="AJ77" s="1642"/>
    </row>
    <row r="78" spans="1:36" ht="15" customHeight="1">
      <c r="A78" s="492"/>
      <c r="B78" s="4420"/>
      <c r="C78" s="4421"/>
      <c r="D78" s="4421"/>
      <c r="E78" s="4421"/>
      <c r="F78" s="4421"/>
      <c r="G78" s="4421"/>
      <c r="H78" s="4421"/>
      <c r="I78" s="4421"/>
      <c r="J78" s="4421"/>
      <c r="K78" s="4421"/>
      <c r="L78" s="4421"/>
      <c r="M78" s="4421"/>
      <c r="N78" s="4421"/>
      <c r="O78" s="4421"/>
      <c r="P78" s="4421"/>
      <c r="Q78" s="4421"/>
      <c r="R78" s="4421"/>
      <c r="S78" s="4421"/>
      <c r="T78" s="4421"/>
      <c r="U78" s="4421"/>
      <c r="V78" s="4421"/>
      <c r="W78" s="4421"/>
      <c r="X78" s="4422"/>
      <c r="Y78" s="1651"/>
      <c r="Z78" s="524"/>
      <c r="AA78" s="524"/>
      <c r="AB78" s="358"/>
      <c r="AC78" s="524"/>
      <c r="AD78" s="524"/>
      <c r="AE78" s="524"/>
      <c r="AF78" s="358"/>
      <c r="AG78" s="1757"/>
      <c r="AH78" s="1757"/>
      <c r="AI78" s="1757"/>
      <c r="AJ78" s="1642"/>
    </row>
    <row r="79" spans="1:36" ht="15" customHeight="1">
      <c r="A79" s="492"/>
      <c r="B79" s="4420"/>
      <c r="C79" s="4421"/>
      <c r="D79" s="4421"/>
      <c r="E79" s="4421"/>
      <c r="F79" s="4421"/>
      <c r="G79" s="4421"/>
      <c r="H79" s="4421"/>
      <c r="I79" s="4421"/>
      <c r="J79" s="4421"/>
      <c r="K79" s="4421"/>
      <c r="L79" s="4421"/>
      <c r="M79" s="4421"/>
      <c r="N79" s="4421"/>
      <c r="O79" s="4421"/>
      <c r="P79" s="4421"/>
      <c r="Q79" s="4421"/>
      <c r="R79" s="4421"/>
      <c r="S79" s="4421"/>
      <c r="T79" s="4421"/>
      <c r="U79" s="4421"/>
      <c r="V79" s="4421"/>
      <c r="W79" s="4421"/>
      <c r="X79" s="4422"/>
      <c r="Y79" s="1651"/>
      <c r="Z79" s="524"/>
      <c r="AA79" s="524"/>
      <c r="AB79" s="358"/>
      <c r="AC79" s="524"/>
      <c r="AD79" s="524"/>
      <c r="AE79" s="524"/>
      <c r="AF79" s="358"/>
      <c r="AG79" s="1757"/>
      <c r="AH79" s="1757"/>
      <c r="AI79" s="1757"/>
      <c r="AJ79" s="1642"/>
    </row>
    <row r="80" spans="1:36" ht="15" customHeight="1">
      <c r="A80" s="492"/>
      <c r="B80" s="4420"/>
      <c r="C80" s="4421"/>
      <c r="D80" s="4421"/>
      <c r="E80" s="4421"/>
      <c r="F80" s="4421"/>
      <c r="G80" s="4421"/>
      <c r="H80" s="4421"/>
      <c r="I80" s="4421"/>
      <c r="J80" s="4421"/>
      <c r="K80" s="4421"/>
      <c r="L80" s="4421"/>
      <c r="M80" s="4421"/>
      <c r="N80" s="4421"/>
      <c r="O80" s="4421"/>
      <c r="P80" s="4421"/>
      <c r="Q80" s="4421"/>
      <c r="R80" s="4421"/>
      <c r="S80" s="4421"/>
      <c r="T80" s="4421"/>
      <c r="U80" s="4421"/>
      <c r="V80" s="4421"/>
      <c r="W80" s="4421"/>
      <c r="X80" s="4422"/>
      <c r="Y80" s="1651"/>
      <c r="Z80" s="524"/>
      <c r="AA80" s="524"/>
      <c r="AB80" s="358"/>
      <c r="AC80" s="524"/>
      <c r="AD80" s="524"/>
      <c r="AE80" s="524"/>
      <c r="AF80" s="358"/>
      <c r="AG80" s="1757"/>
      <c r="AH80" s="1757"/>
      <c r="AI80" s="1757"/>
      <c r="AJ80" s="1642"/>
    </row>
    <row r="81" spans="1:36" ht="15" customHeight="1">
      <c r="A81" s="492"/>
      <c r="B81" s="4420"/>
      <c r="C81" s="4421"/>
      <c r="D81" s="4421"/>
      <c r="E81" s="4421"/>
      <c r="F81" s="4421"/>
      <c r="G81" s="4421"/>
      <c r="H81" s="4421"/>
      <c r="I81" s="4421"/>
      <c r="J81" s="4421"/>
      <c r="K81" s="4421"/>
      <c r="L81" s="4421"/>
      <c r="M81" s="4421"/>
      <c r="N81" s="4421"/>
      <c r="O81" s="4421"/>
      <c r="P81" s="4421"/>
      <c r="Q81" s="4421"/>
      <c r="R81" s="4421"/>
      <c r="S81" s="4421"/>
      <c r="T81" s="4421"/>
      <c r="U81" s="4421"/>
      <c r="V81" s="4421"/>
      <c r="W81" s="4421"/>
      <c r="X81" s="4422"/>
      <c r="Y81" s="1651"/>
      <c r="Z81" s="524"/>
      <c r="AA81" s="524"/>
      <c r="AB81" s="358"/>
      <c r="AC81" s="524"/>
      <c r="AD81" s="524"/>
      <c r="AE81" s="524"/>
      <c r="AF81" s="358"/>
      <c r="AG81" s="1757"/>
      <c r="AH81" s="1757"/>
      <c r="AI81" s="1757"/>
      <c r="AJ81" s="1642"/>
    </row>
    <row r="82" spans="1:36" ht="15" customHeight="1">
      <c r="A82" s="492"/>
      <c r="B82" s="4420"/>
      <c r="C82" s="4421"/>
      <c r="D82" s="4421"/>
      <c r="E82" s="4421"/>
      <c r="F82" s="4421"/>
      <c r="G82" s="4421"/>
      <c r="H82" s="4421"/>
      <c r="I82" s="4421"/>
      <c r="J82" s="4421"/>
      <c r="K82" s="4421"/>
      <c r="L82" s="4421"/>
      <c r="M82" s="4421"/>
      <c r="N82" s="4421"/>
      <c r="O82" s="4421"/>
      <c r="P82" s="4421"/>
      <c r="Q82" s="4421"/>
      <c r="R82" s="4421"/>
      <c r="S82" s="4421"/>
      <c r="T82" s="4421"/>
      <c r="U82" s="4421"/>
      <c r="V82" s="4421"/>
      <c r="W82" s="4421"/>
      <c r="X82" s="4422"/>
      <c r="Y82" s="1651"/>
      <c r="Z82" s="524"/>
      <c r="AA82" s="524"/>
      <c r="AB82" s="358"/>
      <c r="AC82" s="524"/>
      <c r="AD82" s="524"/>
      <c r="AE82" s="524"/>
      <c r="AF82" s="358"/>
      <c r="AG82" s="1757"/>
      <c r="AH82" s="1757"/>
      <c r="AI82" s="1757"/>
      <c r="AJ82" s="1642"/>
    </row>
    <row r="83" spans="1:36" ht="15" customHeight="1">
      <c r="A83" s="492"/>
      <c r="B83" s="4420"/>
      <c r="C83" s="4421"/>
      <c r="D83" s="4421"/>
      <c r="E83" s="4421"/>
      <c r="F83" s="4421"/>
      <c r="G83" s="4421"/>
      <c r="H83" s="4421"/>
      <c r="I83" s="4421"/>
      <c r="J83" s="4421"/>
      <c r="K83" s="4421"/>
      <c r="L83" s="4421"/>
      <c r="M83" s="4421"/>
      <c r="N83" s="4421"/>
      <c r="O83" s="4421"/>
      <c r="P83" s="4421"/>
      <c r="Q83" s="4421"/>
      <c r="R83" s="4421"/>
      <c r="S83" s="4421"/>
      <c r="T83" s="4421"/>
      <c r="U83" s="4421"/>
      <c r="V83" s="4421"/>
      <c r="W83" s="4421"/>
      <c r="X83" s="4422"/>
      <c r="Y83" s="1651"/>
      <c r="Z83" s="524"/>
      <c r="AA83" s="524"/>
      <c r="AB83" s="358"/>
      <c r="AC83" s="524"/>
      <c r="AD83" s="524"/>
      <c r="AE83" s="524"/>
      <c r="AF83" s="358"/>
      <c r="AG83" s="1757"/>
      <c r="AH83" s="1757"/>
      <c r="AI83" s="1757"/>
      <c r="AJ83" s="1642"/>
    </row>
    <row r="84" spans="1:36" ht="15" customHeight="1">
      <c r="A84" s="492"/>
      <c r="B84" s="4420"/>
      <c r="C84" s="4421"/>
      <c r="D84" s="4421"/>
      <c r="E84" s="4421"/>
      <c r="F84" s="4421"/>
      <c r="G84" s="4421"/>
      <c r="H84" s="4421"/>
      <c r="I84" s="4421"/>
      <c r="J84" s="4421"/>
      <c r="K84" s="4421"/>
      <c r="L84" s="4421"/>
      <c r="M84" s="4421"/>
      <c r="N84" s="4421"/>
      <c r="O84" s="4421"/>
      <c r="P84" s="4421"/>
      <c r="Q84" s="4421"/>
      <c r="R84" s="4421"/>
      <c r="S84" s="4421"/>
      <c r="T84" s="4421"/>
      <c r="U84" s="4421"/>
      <c r="V84" s="4421"/>
      <c r="W84" s="4421"/>
      <c r="X84" s="4422"/>
      <c r="Y84" s="1651"/>
      <c r="Z84" s="524"/>
      <c r="AA84" s="524"/>
      <c r="AB84" s="358"/>
      <c r="AC84" s="524"/>
      <c r="AD84" s="524"/>
      <c r="AE84" s="524"/>
      <c r="AF84" s="358"/>
      <c r="AG84" s="1757"/>
      <c r="AH84" s="1757"/>
      <c r="AI84" s="1757"/>
      <c r="AJ84" s="1642"/>
    </row>
    <row r="85" spans="1:36" ht="15" customHeight="1">
      <c r="A85" s="492"/>
      <c r="B85" s="4420"/>
      <c r="C85" s="4421"/>
      <c r="D85" s="4421"/>
      <c r="E85" s="4421"/>
      <c r="F85" s="4421"/>
      <c r="G85" s="4421"/>
      <c r="H85" s="4421"/>
      <c r="I85" s="4421"/>
      <c r="J85" s="4421"/>
      <c r="K85" s="4421"/>
      <c r="L85" s="4421"/>
      <c r="M85" s="4421"/>
      <c r="N85" s="4421"/>
      <c r="O85" s="4421"/>
      <c r="P85" s="4421"/>
      <c r="Q85" s="4421"/>
      <c r="R85" s="4421"/>
      <c r="S85" s="4421"/>
      <c r="T85" s="4421"/>
      <c r="U85" s="4421"/>
      <c r="V85" s="4421"/>
      <c r="W85" s="4421"/>
      <c r="X85" s="4422"/>
      <c r="Y85" s="1651"/>
      <c r="Z85" s="524"/>
      <c r="AA85" s="524"/>
      <c r="AB85" s="358"/>
      <c r="AC85" s="524"/>
      <c r="AD85" s="524"/>
      <c r="AE85" s="524"/>
      <c r="AF85" s="358"/>
      <c r="AG85" s="1757"/>
      <c r="AH85" s="1757"/>
      <c r="AI85" s="1757"/>
      <c r="AJ85" s="1642"/>
    </row>
    <row r="86" spans="1:36" ht="15" customHeight="1">
      <c r="A86" s="492"/>
      <c r="B86" s="4420"/>
      <c r="C86" s="4421"/>
      <c r="D86" s="4421"/>
      <c r="E86" s="4421"/>
      <c r="F86" s="4421"/>
      <c r="G86" s="4421"/>
      <c r="H86" s="4421"/>
      <c r="I86" s="4421"/>
      <c r="J86" s="4421"/>
      <c r="K86" s="4421"/>
      <c r="L86" s="4421"/>
      <c r="M86" s="4421"/>
      <c r="N86" s="4421"/>
      <c r="O86" s="4421"/>
      <c r="P86" s="4421"/>
      <c r="Q86" s="4421"/>
      <c r="R86" s="4421"/>
      <c r="S86" s="4421"/>
      <c r="T86" s="4421"/>
      <c r="U86" s="4421"/>
      <c r="V86" s="4421"/>
      <c r="W86" s="4421"/>
      <c r="X86" s="4422"/>
      <c r="Y86" s="1651"/>
      <c r="Z86" s="524"/>
      <c r="AA86" s="524"/>
      <c r="AB86" s="358"/>
      <c r="AC86" s="524"/>
      <c r="AD86" s="524"/>
      <c r="AE86" s="524"/>
      <c r="AF86" s="358"/>
      <c r="AG86" s="1757"/>
      <c r="AH86" s="1757"/>
      <c r="AI86" s="1757"/>
      <c r="AJ86" s="1642"/>
    </row>
    <row r="87" spans="1:36" ht="15" customHeight="1">
      <c r="A87" s="492"/>
      <c r="B87" s="4420"/>
      <c r="C87" s="4421"/>
      <c r="D87" s="4421"/>
      <c r="E87" s="4421"/>
      <c r="F87" s="4421"/>
      <c r="G87" s="4421"/>
      <c r="H87" s="4421"/>
      <c r="I87" s="4421"/>
      <c r="J87" s="4421"/>
      <c r="K87" s="4421"/>
      <c r="L87" s="4421"/>
      <c r="M87" s="4421"/>
      <c r="N87" s="4421"/>
      <c r="O87" s="4421"/>
      <c r="P87" s="4421"/>
      <c r="Q87" s="4421"/>
      <c r="R87" s="4421"/>
      <c r="S87" s="4421"/>
      <c r="T87" s="4421"/>
      <c r="U87" s="4421"/>
      <c r="V87" s="4421"/>
      <c r="W87" s="4421"/>
      <c r="X87" s="4422"/>
      <c r="Y87" s="1651"/>
      <c r="Z87" s="524"/>
      <c r="AA87" s="524"/>
      <c r="AB87" s="358"/>
      <c r="AC87" s="524"/>
      <c r="AD87" s="524"/>
      <c r="AE87" s="524"/>
      <c r="AF87" s="358"/>
      <c r="AG87" s="1757"/>
      <c r="AH87" s="1757"/>
      <c r="AI87" s="1757"/>
      <c r="AJ87" s="1642"/>
    </row>
    <row r="88" spans="1:36" ht="15" customHeight="1">
      <c r="A88" s="492"/>
      <c r="B88" s="4420"/>
      <c r="C88" s="4421"/>
      <c r="D88" s="4421"/>
      <c r="E88" s="4421"/>
      <c r="F88" s="4421"/>
      <c r="G88" s="4421"/>
      <c r="H88" s="4421"/>
      <c r="I88" s="4421"/>
      <c r="J88" s="4421"/>
      <c r="K88" s="4421"/>
      <c r="L88" s="4421"/>
      <c r="M88" s="4421"/>
      <c r="N88" s="4421"/>
      <c r="O88" s="4421"/>
      <c r="P88" s="4421"/>
      <c r="Q88" s="4421"/>
      <c r="R88" s="4421"/>
      <c r="S88" s="4421"/>
      <c r="T88" s="4421"/>
      <c r="U88" s="4421"/>
      <c r="V88" s="4421"/>
      <c r="W88" s="4421"/>
      <c r="X88" s="4422"/>
      <c r="Y88" s="1651"/>
      <c r="Z88" s="524"/>
      <c r="AA88" s="524"/>
      <c r="AB88" s="358"/>
      <c r="AC88" s="524"/>
      <c r="AD88" s="524"/>
      <c r="AE88" s="524"/>
      <c r="AF88" s="358"/>
      <c r="AG88" s="1757"/>
      <c r="AH88" s="1757"/>
      <c r="AI88" s="1757"/>
      <c r="AJ88" s="1642"/>
    </row>
    <row r="89" spans="1:36" ht="15" customHeight="1">
      <c r="A89" s="492"/>
      <c r="B89" s="4420"/>
      <c r="C89" s="4421"/>
      <c r="D89" s="4421"/>
      <c r="E89" s="4421"/>
      <c r="F89" s="4421"/>
      <c r="G89" s="4421"/>
      <c r="H89" s="4421"/>
      <c r="I89" s="4421"/>
      <c r="J89" s="4421"/>
      <c r="K89" s="4421"/>
      <c r="L89" s="4421"/>
      <c r="M89" s="4421"/>
      <c r="N89" s="4421"/>
      <c r="O89" s="4421"/>
      <c r="P89" s="4421"/>
      <c r="Q89" s="4421"/>
      <c r="R89" s="4421"/>
      <c r="S89" s="4421"/>
      <c r="T89" s="4421"/>
      <c r="U89" s="4421"/>
      <c r="V89" s="4421"/>
      <c r="W89" s="4421"/>
      <c r="X89" s="4422"/>
      <c r="Y89" s="1651"/>
      <c r="Z89" s="524"/>
      <c r="AA89" s="524"/>
      <c r="AB89" s="358"/>
      <c r="AC89" s="524"/>
      <c r="AD89" s="524"/>
      <c r="AE89" s="524"/>
      <c r="AF89" s="358"/>
      <c r="AG89" s="1757"/>
      <c r="AH89" s="1757"/>
      <c r="AI89" s="1757"/>
      <c r="AJ89" s="1642"/>
    </row>
    <row r="90" spans="1:36" ht="15" customHeight="1">
      <c r="A90" s="492"/>
      <c r="B90" s="4420"/>
      <c r="C90" s="4421"/>
      <c r="D90" s="4421"/>
      <c r="E90" s="4421"/>
      <c r="F90" s="4421"/>
      <c r="G90" s="4421"/>
      <c r="H90" s="4421"/>
      <c r="I90" s="4421"/>
      <c r="J90" s="4421"/>
      <c r="K90" s="4421"/>
      <c r="L90" s="4421"/>
      <c r="M90" s="4421"/>
      <c r="N90" s="4421"/>
      <c r="O90" s="4421"/>
      <c r="P90" s="4421"/>
      <c r="Q90" s="4421"/>
      <c r="R90" s="4421"/>
      <c r="S90" s="4421"/>
      <c r="T90" s="4421"/>
      <c r="U90" s="4421"/>
      <c r="V90" s="4421"/>
      <c r="W90" s="4421"/>
      <c r="X90" s="4422"/>
      <c r="Y90" s="1651"/>
      <c r="Z90" s="524"/>
      <c r="AA90" s="524"/>
      <c r="AB90" s="358"/>
      <c r="AC90" s="524"/>
      <c r="AD90" s="524"/>
      <c r="AE90" s="524"/>
      <c r="AF90" s="358"/>
      <c r="AG90" s="1757"/>
      <c r="AH90" s="1757"/>
      <c r="AI90" s="1757"/>
      <c r="AJ90" s="1642"/>
    </row>
    <row r="91" spans="1:36" ht="15" customHeight="1">
      <c r="A91" s="492"/>
      <c r="B91" s="4420"/>
      <c r="C91" s="4421"/>
      <c r="D91" s="4421"/>
      <c r="E91" s="4421"/>
      <c r="F91" s="4421"/>
      <c r="G91" s="4421"/>
      <c r="H91" s="4421"/>
      <c r="I91" s="4421"/>
      <c r="J91" s="4421"/>
      <c r="K91" s="4421"/>
      <c r="L91" s="4421"/>
      <c r="M91" s="4421"/>
      <c r="N91" s="4421"/>
      <c r="O91" s="4421"/>
      <c r="P91" s="4421"/>
      <c r="Q91" s="4421"/>
      <c r="R91" s="4421"/>
      <c r="S91" s="4421"/>
      <c r="T91" s="4421"/>
      <c r="U91" s="4421"/>
      <c r="V91" s="4421"/>
      <c r="W91" s="4421"/>
      <c r="X91" s="4422"/>
      <c r="Y91" s="1651"/>
      <c r="Z91" s="524"/>
      <c r="AA91" s="524"/>
      <c r="AB91" s="358"/>
      <c r="AC91" s="524"/>
      <c r="AD91" s="524"/>
      <c r="AE91" s="524"/>
      <c r="AF91" s="358"/>
      <c r="AG91" s="1757"/>
      <c r="AH91" s="1757"/>
      <c r="AI91" s="1757"/>
      <c r="AJ91" s="1642"/>
    </row>
    <row r="92" spans="1:36" ht="15" customHeight="1">
      <c r="A92" s="492"/>
      <c r="B92" s="4420"/>
      <c r="C92" s="4421"/>
      <c r="D92" s="4421"/>
      <c r="E92" s="4421"/>
      <c r="F92" s="4421"/>
      <c r="G92" s="4421"/>
      <c r="H92" s="4421"/>
      <c r="I92" s="4421"/>
      <c r="J92" s="4421"/>
      <c r="K92" s="4421"/>
      <c r="L92" s="4421"/>
      <c r="M92" s="4421"/>
      <c r="N92" s="4421"/>
      <c r="O92" s="4421"/>
      <c r="P92" s="4421"/>
      <c r="Q92" s="4421"/>
      <c r="R92" s="4421"/>
      <c r="S92" s="4421"/>
      <c r="T92" s="4421"/>
      <c r="U92" s="4421"/>
      <c r="V92" s="4421"/>
      <c r="W92" s="4421"/>
      <c r="X92" s="4422"/>
      <c r="Y92" s="1651"/>
      <c r="Z92" s="524"/>
      <c r="AA92" s="524"/>
      <c r="AB92" s="358"/>
      <c r="AC92" s="524"/>
      <c r="AD92" s="524"/>
      <c r="AE92" s="524"/>
      <c r="AF92" s="358"/>
      <c r="AG92" s="1757"/>
      <c r="AH92" s="1757"/>
      <c r="AI92" s="1757"/>
      <c r="AJ92" s="1642"/>
    </row>
    <row r="93" spans="1:36" ht="15" customHeight="1">
      <c r="A93" s="492"/>
      <c r="B93" s="4420"/>
      <c r="C93" s="4421"/>
      <c r="D93" s="4421"/>
      <c r="E93" s="4421"/>
      <c r="F93" s="4421"/>
      <c r="G93" s="4421"/>
      <c r="H93" s="4421"/>
      <c r="I93" s="4421"/>
      <c r="J93" s="4421"/>
      <c r="K93" s="4421"/>
      <c r="L93" s="4421"/>
      <c r="M93" s="4421"/>
      <c r="N93" s="4421"/>
      <c r="O93" s="4421"/>
      <c r="P93" s="4421"/>
      <c r="Q93" s="4421"/>
      <c r="R93" s="4421"/>
      <c r="S93" s="4421"/>
      <c r="T93" s="4421"/>
      <c r="U93" s="4421"/>
      <c r="V93" s="4421"/>
      <c r="W93" s="4421"/>
      <c r="X93" s="4422"/>
      <c r="Y93" s="1651"/>
      <c r="Z93" s="524"/>
      <c r="AA93" s="524"/>
      <c r="AB93" s="358"/>
      <c r="AC93" s="524"/>
      <c r="AD93" s="524"/>
      <c r="AE93" s="524"/>
      <c r="AF93" s="358"/>
      <c r="AG93" s="1757"/>
      <c r="AH93" s="1757"/>
      <c r="AI93" s="1757"/>
      <c r="AJ93" s="1642"/>
    </row>
    <row r="94" spans="1:36" ht="15" customHeight="1">
      <c r="A94" s="492"/>
      <c r="B94" s="4420"/>
      <c r="C94" s="4421"/>
      <c r="D94" s="4421"/>
      <c r="E94" s="4421"/>
      <c r="F94" s="4421"/>
      <c r="G94" s="4421"/>
      <c r="H94" s="4421"/>
      <c r="I94" s="4421"/>
      <c r="J94" s="4421"/>
      <c r="K94" s="4421"/>
      <c r="L94" s="4421"/>
      <c r="M94" s="4421"/>
      <c r="N94" s="4421"/>
      <c r="O94" s="4421"/>
      <c r="P94" s="4421"/>
      <c r="Q94" s="4421"/>
      <c r="R94" s="4421"/>
      <c r="S94" s="4421"/>
      <c r="T94" s="4421"/>
      <c r="U94" s="4421"/>
      <c r="V94" s="4421"/>
      <c r="W94" s="4421"/>
      <c r="X94" s="4422"/>
      <c r="Y94" s="1651"/>
      <c r="Z94" s="524"/>
      <c r="AA94" s="524"/>
      <c r="AB94" s="358"/>
      <c r="AC94" s="524"/>
      <c r="AD94" s="524"/>
      <c r="AE94" s="524"/>
      <c r="AF94" s="358"/>
      <c r="AG94" s="1757"/>
      <c r="AH94" s="1757"/>
      <c r="AI94" s="1757"/>
      <c r="AJ94" s="1642"/>
    </row>
    <row r="95" spans="1:36" ht="15" customHeight="1">
      <c r="A95" s="492"/>
      <c r="B95" s="4420"/>
      <c r="C95" s="4421"/>
      <c r="D95" s="4421"/>
      <c r="E95" s="4421"/>
      <c r="F95" s="4421"/>
      <c r="G95" s="4421"/>
      <c r="H95" s="4421"/>
      <c r="I95" s="4421"/>
      <c r="J95" s="4421"/>
      <c r="K95" s="4421"/>
      <c r="L95" s="4421"/>
      <c r="M95" s="4421"/>
      <c r="N95" s="4421"/>
      <c r="O95" s="4421"/>
      <c r="P95" s="4421"/>
      <c r="Q95" s="4421"/>
      <c r="R95" s="4421"/>
      <c r="S95" s="4421"/>
      <c r="T95" s="4421"/>
      <c r="U95" s="4421"/>
      <c r="V95" s="4421"/>
      <c r="W95" s="4421"/>
      <c r="X95" s="4422"/>
      <c r="Y95" s="1651"/>
      <c r="Z95" s="524"/>
      <c r="AA95" s="524"/>
      <c r="AB95" s="358"/>
      <c r="AC95" s="524"/>
      <c r="AD95" s="524"/>
      <c r="AE95" s="524"/>
      <c r="AF95" s="358"/>
      <c r="AG95" s="1757"/>
      <c r="AH95" s="1757"/>
      <c r="AI95" s="1757"/>
      <c r="AJ95" s="1642"/>
    </row>
    <row r="96" spans="1:36" ht="15" customHeight="1">
      <c r="A96" s="492"/>
      <c r="B96" s="4420"/>
      <c r="C96" s="4421"/>
      <c r="D96" s="4421"/>
      <c r="E96" s="4421"/>
      <c r="F96" s="4421"/>
      <c r="G96" s="4421"/>
      <c r="H96" s="4421"/>
      <c r="I96" s="4421"/>
      <c r="J96" s="4421"/>
      <c r="K96" s="4421"/>
      <c r="L96" s="4421"/>
      <c r="M96" s="4421"/>
      <c r="N96" s="4421"/>
      <c r="O96" s="4421"/>
      <c r="P96" s="4421"/>
      <c r="Q96" s="4421"/>
      <c r="R96" s="4421"/>
      <c r="S96" s="4421"/>
      <c r="T96" s="4421"/>
      <c r="U96" s="4421"/>
      <c r="V96" s="4421"/>
      <c r="W96" s="4421"/>
      <c r="X96" s="4422"/>
      <c r="Y96" s="1651"/>
      <c r="Z96" s="524"/>
      <c r="AA96" s="524"/>
      <c r="AB96" s="358"/>
      <c r="AC96" s="524"/>
      <c r="AD96" s="524"/>
      <c r="AE96" s="524"/>
      <c r="AF96" s="358"/>
      <c r="AG96" s="1757"/>
      <c r="AH96" s="1757"/>
      <c r="AI96" s="1757"/>
      <c r="AJ96" s="1642"/>
    </row>
    <row r="97" spans="1:36" ht="15" customHeight="1">
      <c r="A97" s="492"/>
      <c r="B97" s="4420"/>
      <c r="C97" s="4421"/>
      <c r="D97" s="4421"/>
      <c r="E97" s="4421"/>
      <c r="F97" s="4421"/>
      <c r="G97" s="4421"/>
      <c r="H97" s="4421"/>
      <c r="I97" s="4421"/>
      <c r="J97" s="4421"/>
      <c r="K97" s="4421"/>
      <c r="L97" s="4421"/>
      <c r="M97" s="4421"/>
      <c r="N97" s="4421"/>
      <c r="O97" s="4421"/>
      <c r="P97" s="4421"/>
      <c r="Q97" s="4421"/>
      <c r="R97" s="4421"/>
      <c r="S97" s="4421"/>
      <c r="T97" s="4421"/>
      <c r="U97" s="4421"/>
      <c r="V97" s="4421"/>
      <c r="W97" s="4421"/>
      <c r="X97" s="4422"/>
      <c r="Y97" s="1651"/>
      <c r="Z97" s="524"/>
      <c r="AA97" s="524"/>
      <c r="AB97" s="358"/>
      <c r="AC97" s="524"/>
      <c r="AD97" s="524"/>
      <c r="AE97" s="524"/>
      <c r="AF97" s="358"/>
      <c r="AG97" s="1757"/>
      <c r="AH97" s="1757"/>
      <c r="AI97" s="1757"/>
      <c r="AJ97" s="1642"/>
    </row>
    <row r="98" spans="1:36" ht="15" customHeight="1">
      <c r="A98" s="492"/>
      <c r="B98" s="4420"/>
      <c r="C98" s="4421"/>
      <c r="D98" s="4421"/>
      <c r="E98" s="4421"/>
      <c r="F98" s="4421"/>
      <c r="G98" s="4421"/>
      <c r="H98" s="4421"/>
      <c r="I98" s="4421"/>
      <c r="J98" s="4421"/>
      <c r="K98" s="4421"/>
      <c r="L98" s="4421"/>
      <c r="M98" s="4421"/>
      <c r="N98" s="4421"/>
      <c r="O98" s="4421"/>
      <c r="P98" s="4421"/>
      <c r="Q98" s="4421"/>
      <c r="R98" s="4421"/>
      <c r="S98" s="4421"/>
      <c r="T98" s="4421"/>
      <c r="U98" s="4421"/>
      <c r="V98" s="4421"/>
      <c r="W98" s="4421"/>
      <c r="X98" s="4422"/>
      <c r="Y98" s="1651"/>
      <c r="Z98" s="524"/>
      <c r="AA98" s="524"/>
      <c r="AB98" s="358"/>
      <c r="AC98" s="524"/>
      <c r="AD98" s="524"/>
      <c r="AE98" s="524"/>
      <c r="AF98" s="358"/>
      <c r="AG98" s="1757"/>
      <c r="AH98" s="1757"/>
      <c r="AI98" s="1757"/>
      <c r="AJ98" s="1642"/>
    </row>
    <row r="99" spans="1:36" ht="15" customHeight="1">
      <c r="A99" s="492"/>
      <c r="B99" s="4420"/>
      <c r="C99" s="4421"/>
      <c r="D99" s="4421"/>
      <c r="E99" s="4421"/>
      <c r="F99" s="4421"/>
      <c r="G99" s="4421"/>
      <c r="H99" s="4421"/>
      <c r="I99" s="4421"/>
      <c r="J99" s="4421"/>
      <c r="K99" s="4421"/>
      <c r="L99" s="4421"/>
      <c r="M99" s="4421"/>
      <c r="N99" s="4421"/>
      <c r="O99" s="4421"/>
      <c r="P99" s="4421"/>
      <c r="Q99" s="4421"/>
      <c r="R99" s="4421"/>
      <c r="S99" s="4421"/>
      <c r="T99" s="4421"/>
      <c r="U99" s="4421"/>
      <c r="V99" s="4421"/>
      <c r="W99" s="4421"/>
      <c r="X99" s="4422"/>
      <c r="Y99" s="1651"/>
      <c r="Z99" s="524"/>
      <c r="AA99" s="524"/>
      <c r="AB99" s="358"/>
      <c r="AC99" s="524"/>
      <c r="AD99" s="524"/>
      <c r="AE99" s="524"/>
      <c r="AF99" s="358"/>
      <c r="AG99" s="1757"/>
      <c r="AH99" s="1757"/>
      <c r="AI99" s="1757"/>
      <c r="AJ99" s="1642"/>
    </row>
    <row r="100" spans="1:36" ht="15" customHeight="1">
      <c r="A100" s="492"/>
      <c r="B100" s="4420"/>
      <c r="C100" s="4421"/>
      <c r="D100" s="4421"/>
      <c r="E100" s="4421"/>
      <c r="F100" s="4421"/>
      <c r="G100" s="4421"/>
      <c r="H100" s="4421"/>
      <c r="I100" s="4421"/>
      <c r="J100" s="4421"/>
      <c r="K100" s="4421"/>
      <c r="L100" s="4421"/>
      <c r="M100" s="4421"/>
      <c r="N100" s="4421"/>
      <c r="O100" s="4421"/>
      <c r="P100" s="4421"/>
      <c r="Q100" s="4421"/>
      <c r="R100" s="4421"/>
      <c r="S100" s="4421"/>
      <c r="T100" s="4421"/>
      <c r="U100" s="4421"/>
      <c r="V100" s="4421"/>
      <c r="W100" s="4421"/>
      <c r="X100" s="4422"/>
      <c r="Y100" s="1651"/>
      <c r="Z100" s="524"/>
      <c r="AA100" s="524"/>
      <c r="AB100" s="358"/>
      <c r="AC100" s="524"/>
      <c r="AD100" s="524"/>
      <c r="AE100" s="524"/>
      <c r="AF100" s="358"/>
      <c r="AG100" s="1757"/>
      <c r="AH100" s="1757"/>
      <c r="AI100" s="1757"/>
      <c r="AJ100" s="1642"/>
    </row>
    <row r="101" spans="1:36" ht="15" customHeight="1">
      <c r="A101" s="492"/>
      <c r="B101" s="4420"/>
      <c r="C101" s="4421"/>
      <c r="D101" s="4421"/>
      <c r="E101" s="4421"/>
      <c r="F101" s="4421"/>
      <c r="G101" s="4421"/>
      <c r="H101" s="4421"/>
      <c r="I101" s="4421"/>
      <c r="J101" s="4421"/>
      <c r="K101" s="4421"/>
      <c r="L101" s="4421"/>
      <c r="M101" s="4421"/>
      <c r="N101" s="4421"/>
      <c r="O101" s="4421"/>
      <c r="P101" s="4421"/>
      <c r="Q101" s="4421"/>
      <c r="R101" s="4421"/>
      <c r="S101" s="4421"/>
      <c r="T101" s="4421"/>
      <c r="U101" s="4421"/>
      <c r="V101" s="4421"/>
      <c r="W101" s="4421"/>
      <c r="X101" s="4422"/>
      <c r="Y101" s="1651"/>
      <c r="Z101" s="524"/>
      <c r="AA101" s="524"/>
      <c r="AB101" s="358"/>
      <c r="AC101" s="524"/>
      <c r="AD101" s="524"/>
      <c r="AE101" s="524"/>
      <c r="AF101" s="358"/>
      <c r="AG101" s="1757"/>
      <c r="AH101" s="1757"/>
      <c r="AI101" s="1757"/>
      <c r="AJ101" s="1642"/>
    </row>
    <row r="102" spans="1:36" ht="15" customHeight="1">
      <c r="A102" s="492"/>
      <c r="B102" s="4420"/>
      <c r="C102" s="4421"/>
      <c r="D102" s="4421"/>
      <c r="E102" s="4421"/>
      <c r="F102" s="4421"/>
      <c r="G102" s="4421"/>
      <c r="H102" s="4421"/>
      <c r="I102" s="4421"/>
      <c r="J102" s="4421"/>
      <c r="K102" s="4421"/>
      <c r="L102" s="4421"/>
      <c r="M102" s="4421"/>
      <c r="N102" s="4421"/>
      <c r="O102" s="4421"/>
      <c r="P102" s="4421"/>
      <c r="Q102" s="4421"/>
      <c r="R102" s="4421"/>
      <c r="S102" s="4421"/>
      <c r="T102" s="4421"/>
      <c r="U102" s="4421"/>
      <c r="V102" s="4421"/>
      <c r="W102" s="4421"/>
      <c r="X102" s="4422"/>
      <c r="Y102" s="1651"/>
      <c r="Z102" s="524"/>
      <c r="AA102" s="524"/>
      <c r="AB102" s="358"/>
      <c r="AC102" s="524"/>
      <c r="AD102" s="524"/>
      <c r="AE102" s="524"/>
      <c r="AF102" s="358"/>
      <c r="AG102" s="1757"/>
      <c r="AH102" s="1757"/>
      <c r="AI102" s="1757"/>
      <c r="AJ102" s="1642"/>
    </row>
    <row r="103" spans="1:36" ht="15" customHeight="1">
      <c r="A103" s="492"/>
      <c r="B103" s="4420"/>
      <c r="C103" s="4421"/>
      <c r="D103" s="4421"/>
      <c r="E103" s="4421"/>
      <c r="F103" s="4421"/>
      <c r="G103" s="4421"/>
      <c r="H103" s="4421"/>
      <c r="I103" s="4421"/>
      <c r="J103" s="4421"/>
      <c r="K103" s="4421"/>
      <c r="L103" s="4421"/>
      <c r="M103" s="4421"/>
      <c r="N103" s="4421"/>
      <c r="O103" s="4421"/>
      <c r="P103" s="4421"/>
      <c r="Q103" s="4421"/>
      <c r="R103" s="4421"/>
      <c r="S103" s="4421"/>
      <c r="T103" s="4421"/>
      <c r="U103" s="4421"/>
      <c r="V103" s="4421"/>
      <c r="W103" s="4421"/>
      <c r="X103" s="4422"/>
      <c r="Y103" s="1651"/>
      <c r="Z103" s="524"/>
      <c r="AA103" s="524"/>
      <c r="AB103" s="358"/>
      <c r="AC103" s="524"/>
      <c r="AD103" s="524"/>
      <c r="AE103" s="524"/>
      <c r="AF103" s="358"/>
      <c r="AG103" s="1757"/>
      <c r="AH103" s="1757"/>
      <c r="AI103" s="1757"/>
      <c r="AJ103" s="1642"/>
    </row>
    <row r="104" spans="1:36" ht="15" customHeight="1">
      <c r="A104" s="492"/>
      <c r="B104" s="4420"/>
      <c r="C104" s="4421"/>
      <c r="D104" s="4421"/>
      <c r="E104" s="4421"/>
      <c r="F104" s="4421"/>
      <c r="G104" s="4421"/>
      <c r="H104" s="4421"/>
      <c r="I104" s="4421"/>
      <c r="J104" s="4421"/>
      <c r="K104" s="4421"/>
      <c r="L104" s="4421"/>
      <c r="M104" s="4421"/>
      <c r="N104" s="4421"/>
      <c r="O104" s="4421"/>
      <c r="P104" s="4421"/>
      <c r="Q104" s="4421"/>
      <c r="R104" s="4421"/>
      <c r="S104" s="4421"/>
      <c r="T104" s="4421"/>
      <c r="U104" s="4421"/>
      <c r="V104" s="4421"/>
      <c r="W104" s="4421"/>
      <c r="X104" s="4422"/>
      <c r="Y104" s="1651"/>
      <c r="Z104" s="524"/>
      <c r="AA104" s="524"/>
      <c r="AB104" s="358"/>
      <c r="AC104" s="524"/>
      <c r="AD104" s="524"/>
      <c r="AE104" s="524"/>
      <c r="AF104" s="358"/>
      <c r="AG104" s="1757"/>
      <c r="AH104" s="1757"/>
      <c r="AI104" s="1757"/>
      <c r="AJ104" s="1642"/>
    </row>
    <row r="105" spans="1:36" ht="15" customHeight="1">
      <c r="A105" s="492"/>
      <c r="B105" s="4420"/>
      <c r="C105" s="4421"/>
      <c r="D105" s="4421"/>
      <c r="E105" s="4421"/>
      <c r="F105" s="4421"/>
      <c r="G105" s="4421"/>
      <c r="H105" s="4421"/>
      <c r="I105" s="4421"/>
      <c r="J105" s="4421"/>
      <c r="K105" s="4421"/>
      <c r="L105" s="4421"/>
      <c r="M105" s="4421"/>
      <c r="N105" s="4421"/>
      <c r="O105" s="4421"/>
      <c r="P105" s="4421"/>
      <c r="Q105" s="4421"/>
      <c r="R105" s="4421"/>
      <c r="S105" s="4421"/>
      <c r="T105" s="4421"/>
      <c r="U105" s="4421"/>
      <c r="V105" s="4421"/>
      <c r="W105" s="4421"/>
      <c r="X105" s="4422"/>
      <c r="Y105" s="1651"/>
      <c r="Z105" s="524"/>
      <c r="AA105" s="524"/>
      <c r="AB105" s="358"/>
      <c r="AC105" s="524"/>
      <c r="AD105" s="524"/>
      <c r="AE105" s="524"/>
      <c r="AF105" s="358"/>
      <c r="AG105" s="1757"/>
      <c r="AH105" s="1757"/>
      <c r="AI105" s="1757"/>
      <c r="AJ105" s="1642"/>
    </row>
    <row r="106" spans="1:36" ht="15" customHeight="1">
      <c r="A106" s="492"/>
      <c r="B106" s="4420"/>
      <c r="C106" s="4421"/>
      <c r="D106" s="4421"/>
      <c r="E106" s="4421"/>
      <c r="F106" s="4421"/>
      <c r="G106" s="4421"/>
      <c r="H106" s="4421"/>
      <c r="I106" s="4421"/>
      <c r="J106" s="4421"/>
      <c r="K106" s="4421"/>
      <c r="L106" s="4421"/>
      <c r="M106" s="4421"/>
      <c r="N106" s="4421"/>
      <c r="O106" s="4421"/>
      <c r="P106" s="4421"/>
      <c r="Q106" s="4421"/>
      <c r="R106" s="4421"/>
      <c r="S106" s="4421"/>
      <c r="T106" s="4421"/>
      <c r="U106" s="4421"/>
      <c r="V106" s="4421"/>
      <c r="W106" s="4421"/>
      <c r="X106" s="4422"/>
      <c r="Y106" s="1651"/>
      <c r="Z106" s="524"/>
      <c r="AA106" s="524"/>
      <c r="AB106" s="358"/>
      <c r="AC106" s="524"/>
      <c r="AD106" s="524"/>
      <c r="AE106" s="524"/>
      <c r="AF106" s="358"/>
      <c r="AG106" s="1757"/>
      <c r="AH106" s="1757"/>
      <c r="AI106" s="1757"/>
      <c r="AJ106" s="1642"/>
    </row>
    <row r="107" spans="1:36" ht="15" customHeight="1">
      <c r="A107" s="492"/>
      <c r="B107" s="4420"/>
      <c r="C107" s="4421"/>
      <c r="D107" s="4421"/>
      <c r="E107" s="4421"/>
      <c r="F107" s="4421"/>
      <c r="G107" s="4421"/>
      <c r="H107" s="4421"/>
      <c r="I107" s="4421"/>
      <c r="J107" s="4421"/>
      <c r="K107" s="4421"/>
      <c r="L107" s="4421"/>
      <c r="M107" s="4421"/>
      <c r="N107" s="4421"/>
      <c r="O107" s="4421"/>
      <c r="P107" s="4421"/>
      <c r="Q107" s="4421"/>
      <c r="R107" s="4421"/>
      <c r="S107" s="4421"/>
      <c r="T107" s="4421"/>
      <c r="U107" s="4421"/>
      <c r="V107" s="4421"/>
      <c r="W107" s="4421"/>
      <c r="X107" s="4422"/>
      <c r="Y107" s="1651"/>
      <c r="Z107" s="524"/>
      <c r="AA107" s="524"/>
      <c r="AB107" s="358"/>
      <c r="AC107" s="524"/>
      <c r="AD107" s="524"/>
      <c r="AE107" s="524"/>
      <c r="AF107" s="358"/>
      <c r="AG107" s="1757"/>
      <c r="AH107" s="1757"/>
      <c r="AI107" s="1757"/>
      <c r="AJ107" s="1642"/>
    </row>
    <row r="108" spans="1:36" ht="15" customHeight="1">
      <c r="A108" s="492"/>
      <c r="B108" s="4420"/>
      <c r="C108" s="4421"/>
      <c r="D108" s="4421"/>
      <c r="E108" s="4421"/>
      <c r="F108" s="4421"/>
      <c r="G108" s="4421"/>
      <c r="H108" s="4421"/>
      <c r="I108" s="4421"/>
      <c r="J108" s="4421"/>
      <c r="K108" s="4421"/>
      <c r="L108" s="4421"/>
      <c r="M108" s="4421"/>
      <c r="N108" s="4421"/>
      <c r="O108" s="4421"/>
      <c r="P108" s="4421"/>
      <c r="Q108" s="4421"/>
      <c r="R108" s="4421"/>
      <c r="S108" s="4421"/>
      <c r="T108" s="4421"/>
      <c r="U108" s="4421"/>
      <c r="V108" s="4421"/>
      <c r="W108" s="4421"/>
      <c r="X108" s="4422"/>
      <c r="Y108" s="1651"/>
      <c r="Z108" s="524"/>
      <c r="AA108" s="524"/>
      <c r="AB108" s="358"/>
      <c r="AC108" s="524"/>
      <c r="AD108" s="524"/>
      <c r="AE108" s="524"/>
      <c r="AF108" s="358"/>
      <c r="AG108" s="1757"/>
      <c r="AH108" s="1757"/>
      <c r="AI108" s="1757"/>
      <c r="AJ108" s="1642"/>
    </row>
    <row r="109" spans="1:36" ht="15" customHeight="1">
      <c r="A109" s="492"/>
      <c r="B109" s="4423"/>
      <c r="C109" s="4424"/>
      <c r="D109" s="4424"/>
      <c r="E109" s="4424"/>
      <c r="F109" s="4424"/>
      <c r="G109" s="4424"/>
      <c r="H109" s="4424"/>
      <c r="I109" s="4424"/>
      <c r="J109" s="4424"/>
      <c r="K109" s="4424"/>
      <c r="L109" s="4424"/>
      <c r="M109" s="4424"/>
      <c r="N109" s="4424"/>
      <c r="O109" s="4424"/>
      <c r="P109" s="4424"/>
      <c r="Q109" s="4424"/>
      <c r="R109" s="4424"/>
      <c r="S109" s="4424"/>
      <c r="T109" s="4424"/>
      <c r="U109" s="4424"/>
      <c r="V109" s="4424"/>
      <c r="W109" s="4424"/>
      <c r="X109" s="4425"/>
      <c r="Y109" s="1651"/>
      <c r="Z109" s="524"/>
      <c r="AA109" s="524"/>
      <c r="AB109" s="524"/>
      <c r="AC109" s="524"/>
      <c r="AD109" s="524"/>
      <c r="AE109" s="524"/>
      <c r="AF109" s="524"/>
      <c r="AG109" s="1757"/>
      <c r="AH109" s="1757"/>
      <c r="AI109" s="1757"/>
      <c r="AJ109" s="1642"/>
    </row>
    <row r="110" spans="1:36" ht="15" customHeight="1">
      <c r="A110" s="492"/>
      <c r="B110" s="492"/>
      <c r="C110" s="1625"/>
      <c r="D110" s="1625"/>
      <c r="E110" s="1625"/>
      <c r="F110" s="1625"/>
      <c r="G110" s="1625"/>
      <c r="H110" s="1625"/>
      <c r="I110" s="1625"/>
      <c r="J110" s="1625"/>
      <c r="K110" s="1625"/>
      <c r="L110" s="1625"/>
      <c r="M110" s="1625"/>
      <c r="N110" s="1625"/>
      <c r="O110" s="1625"/>
      <c r="P110" s="1625"/>
      <c r="Q110" s="1625"/>
      <c r="R110" s="1625"/>
      <c r="S110" s="1625"/>
      <c r="T110" s="1625"/>
      <c r="U110" s="1625"/>
      <c r="V110" s="1625"/>
      <c r="W110" s="1625"/>
      <c r="X110" s="1625"/>
      <c r="Y110" s="1651"/>
      <c r="Z110" s="524"/>
      <c r="AA110" s="524"/>
      <c r="AB110" s="524"/>
      <c r="AC110" s="524"/>
      <c r="AD110" s="524"/>
      <c r="AE110" s="524"/>
      <c r="AF110" s="524"/>
      <c r="AG110" s="1757"/>
      <c r="AH110" s="1757"/>
      <c r="AI110" s="1757"/>
      <c r="AJ110" s="1642"/>
    </row>
    <row r="111" spans="1:36" ht="15" customHeight="1">
      <c r="A111" s="492"/>
      <c r="B111" s="492"/>
      <c r="C111" s="1625"/>
      <c r="D111" s="1625"/>
      <c r="E111" s="1625"/>
      <c r="F111" s="1625"/>
      <c r="G111" s="1625"/>
      <c r="H111" s="1625"/>
      <c r="I111" s="1625"/>
      <c r="J111" s="1625"/>
      <c r="K111" s="1625"/>
      <c r="L111" s="1625"/>
      <c r="M111" s="1625"/>
      <c r="N111" s="1625"/>
      <c r="O111" s="1625"/>
      <c r="P111" s="1625"/>
      <c r="Q111" s="1123"/>
      <c r="R111" s="3899"/>
      <c r="S111" s="3899"/>
      <c r="T111" s="3899"/>
      <c r="U111" s="3899"/>
      <c r="V111" s="4426" t="s">
        <v>231</v>
      </c>
      <c r="W111" s="4426"/>
      <c r="X111" s="4426"/>
      <c r="Y111" s="4426"/>
      <c r="Z111" s="524"/>
      <c r="AA111" s="524"/>
      <c r="AB111" s="524"/>
      <c r="AC111" s="524"/>
      <c r="AD111" s="524"/>
      <c r="AE111" s="524"/>
      <c r="AF111" s="524"/>
      <c r="AG111" s="1757"/>
      <c r="AH111" s="1757"/>
      <c r="AI111" s="1757"/>
      <c r="AJ111" s="1642"/>
    </row>
    <row r="112" spans="1:36" ht="15" customHeight="1">
      <c r="A112" s="492"/>
      <c r="B112" s="492"/>
      <c r="C112" s="1625"/>
      <c r="D112" s="1625"/>
      <c r="E112" s="1625"/>
      <c r="F112" s="1625"/>
      <c r="G112" s="1625"/>
      <c r="H112" s="1625"/>
      <c r="I112" s="1625"/>
      <c r="J112" s="1625"/>
      <c r="K112" s="1625"/>
      <c r="L112" s="1625"/>
      <c r="M112" s="1625"/>
      <c r="N112" s="1625"/>
      <c r="O112" s="1625"/>
      <c r="P112" s="1625"/>
      <c r="Q112" s="1123"/>
      <c r="R112" s="3899" t="s">
        <v>1011</v>
      </c>
      <c r="S112" s="3899"/>
      <c r="T112" s="3899"/>
      <c r="U112" s="3899"/>
      <c r="V112" s="3900" t="s">
        <v>1</v>
      </c>
      <c r="W112" s="3900"/>
      <c r="X112" s="3900"/>
      <c r="Y112" s="3900"/>
      <c r="Z112" s="3712"/>
      <c r="AA112" s="3712"/>
      <c r="AB112" s="3712"/>
      <c r="AC112" s="3712"/>
      <c r="AD112" s="3712"/>
      <c r="AE112" s="3712"/>
      <c r="AF112" s="3712"/>
      <c r="AG112" s="3712"/>
      <c r="AH112" s="3712"/>
      <c r="AI112" s="3712"/>
      <c r="AJ112" s="1642"/>
    </row>
    <row r="113" spans="1:36" ht="15" customHeight="1">
      <c r="A113" s="4033" t="s">
        <v>1012</v>
      </c>
      <c r="B113" s="4033"/>
      <c r="C113" s="4033"/>
      <c r="D113" s="4033"/>
      <c r="E113" s="4033"/>
      <c r="F113" s="4033"/>
      <c r="G113" s="4033"/>
      <c r="H113" s="4033"/>
      <c r="I113" s="4033"/>
      <c r="J113" s="1652"/>
      <c r="K113" s="1652"/>
      <c r="L113" s="1652"/>
      <c r="M113" s="1652"/>
      <c r="N113" s="1652"/>
      <c r="O113" s="1652"/>
      <c r="P113" s="1652"/>
      <c r="Q113" s="1123"/>
      <c r="R113" s="3899" t="s">
        <v>1013</v>
      </c>
      <c r="S113" s="3899"/>
      <c r="T113" s="3899"/>
      <c r="U113" s="3899"/>
      <c r="V113" s="3900" t="s">
        <v>235</v>
      </c>
      <c r="W113" s="3900"/>
      <c r="X113" s="3900"/>
      <c r="Y113" s="3900"/>
      <c r="Z113" s="524"/>
      <c r="AA113" s="524"/>
      <c r="AB113" s="524"/>
      <c r="AC113" s="524"/>
      <c r="AD113" s="524"/>
      <c r="AE113" s="524"/>
      <c r="AF113" s="524"/>
      <c r="AG113" s="1757"/>
      <c r="AH113" s="1757"/>
      <c r="AI113" s="1757"/>
      <c r="AJ113" s="1642"/>
    </row>
    <row r="114" spans="1:36" ht="15" customHeight="1">
      <c r="A114" s="1201"/>
      <c r="B114" s="1201"/>
      <c r="C114" s="1201"/>
      <c r="D114" s="1201"/>
      <c r="E114" s="1201"/>
      <c r="F114" s="1201"/>
      <c r="G114" s="1201"/>
      <c r="H114" s="1201"/>
      <c r="I114" s="1201"/>
      <c r="J114" s="1201"/>
      <c r="K114" s="1201"/>
      <c r="L114" s="1201"/>
      <c r="M114" s="1201"/>
      <c r="N114" s="1201"/>
      <c r="O114" s="1201"/>
      <c r="P114" s="1201"/>
      <c r="Q114" s="1201"/>
      <c r="R114" s="1201"/>
      <c r="S114" s="1201"/>
      <c r="T114" s="1201"/>
      <c r="U114" s="1201"/>
      <c r="V114" s="1201"/>
      <c r="W114" s="1201"/>
      <c r="X114" s="1201"/>
      <c r="Y114" s="1651"/>
      <c r="Z114" s="524"/>
      <c r="AA114" s="524"/>
      <c r="AB114" s="524"/>
      <c r="AC114" s="524"/>
      <c r="AD114" s="524"/>
      <c r="AE114" s="524"/>
      <c r="AF114" s="524"/>
      <c r="AG114" s="1757"/>
      <c r="AH114" s="1757"/>
      <c r="AI114" s="1757"/>
      <c r="AJ114" s="1642"/>
    </row>
  </sheetData>
  <sheetProtection password="E540" sheet="1" objects="1" scenarios="1"/>
  <mergeCells count="133">
    <mergeCell ref="A113:I113"/>
    <mergeCell ref="R113:U113"/>
    <mergeCell ref="V113:Y113"/>
    <mergeCell ref="F8:X12"/>
    <mergeCell ref="K13:N13"/>
    <mergeCell ref="O13:T13"/>
    <mergeCell ref="Q30:X30"/>
    <mergeCell ref="Q31:X31"/>
    <mergeCell ref="Q32:X32"/>
    <mergeCell ref="V70:W70"/>
    <mergeCell ref="A72:B72"/>
    <mergeCell ref="B73:X109"/>
    <mergeCell ref="R111:U111"/>
    <mergeCell ref="V111:Y111"/>
    <mergeCell ref="R112:U112"/>
    <mergeCell ref="V112:Y112"/>
    <mergeCell ref="C70:D70"/>
    <mergeCell ref="E70:F70"/>
    <mergeCell ref="G70:H70"/>
    <mergeCell ref="P70:Q70"/>
    <mergeCell ref="R70:S70"/>
    <mergeCell ref="T70:U70"/>
    <mergeCell ref="R68:S68"/>
    <mergeCell ref="T68:U68"/>
    <mergeCell ref="V68:W68"/>
    <mergeCell ref="C69:D69"/>
    <mergeCell ref="E69:F69"/>
    <mergeCell ref="G69:H69"/>
    <mergeCell ref="P69:Q69"/>
    <mergeCell ref="R69:S69"/>
    <mergeCell ref="T69:U69"/>
    <mergeCell ref="V69:W69"/>
    <mergeCell ref="C64:D64"/>
    <mergeCell ref="P64:U64"/>
    <mergeCell ref="P65:U65"/>
    <mergeCell ref="A66:B66"/>
    <mergeCell ref="A67:B67"/>
    <mergeCell ref="C68:D68"/>
    <mergeCell ref="E68:F68"/>
    <mergeCell ref="G68:H68"/>
    <mergeCell ref="I68:O68"/>
    <mergeCell ref="P68:Q68"/>
    <mergeCell ref="P62:Q62"/>
    <mergeCell ref="R62:S62"/>
    <mergeCell ref="T62:U62"/>
    <mergeCell ref="D63:G63"/>
    <mergeCell ref="I63:K63"/>
    <mergeCell ref="P63:Q63"/>
    <mergeCell ref="R63:S63"/>
    <mergeCell ref="T63:U63"/>
    <mergeCell ref="P60:Q60"/>
    <mergeCell ref="S60:T60"/>
    <mergeCell ref="C61:D61"/>
    <mergeCell ref="E61:F61"/>
    <mergeCell ref="G61:H61"/>
    <mergeCell ref="I61:J61"/>
    <mergeCell ref="K61:L61"/>
    <mergeCell ref="M61:N61"/>
    <mergeCell ref="C60:D60"/>
    <mergeCell ref="E60:F60"/>
    <mergeCell ref="G60:H60"/>
    <mergeCell ref="I60:J60"/>
    <mergeCell ref="K60:L60"/>
    <mergeCell ref="M60:N60"/>
    <mergeCell ref="D57:N57"/>
    <mergeCell ref="P57:Q57"/>
    <mergeCell ref="C58:D58"/>
    <mergeCell ref="E58:F58"/>
    <mergeCell ref="G58:H58"/>
    <mergeCell ref="I58:J58"/>
    <mergeCell ref="K58:L58"/>
    <mergeCell ref="P58:T58"/>
    <mergeCell ref="Q41:V41"/>
    <mergeCell ref="A43:E43"/>
    <mergeCell ref="G43:X51"/>
    <mergeCell ref="C44:D44"/>
    <mergeCell ref="G52:L52"/>
    <mergeCell ref="G53:X54"/>
    <mergeCell ref="B54:E54"/>
    <mergeCell ref="U58:W59"/>
    <mergeCell ref="C59:D59"/>
    <mergeCell ref="E59:F59"/>
    <mergeCell ref="G59:H59"/>
    <mergeCell ref="I59:J59"/>
    <mergeCell ref="K59:L59"/>
    <mergeCell ref="M59:N59"/>
    <mergeCell ref="P59:Q59"/>
    <mergeCell ref="S59:T59"/>
    <mergeCell ref="F38:I38"/>
    <mergeCell ref="Q38:U38"/>
    <mergeCell ref="W38:Y38"/>
    <mergeCell ref="H39:L39"/>
    <mergeCell ref="Q39:U39"/>
    <mergeCell ref="H40:L40"/>
    <mergeCell ref="Q40:U40"/>
    <mergeCell ref="F32:N34"/>
    <mergeCell ref="O34:W34"/>
    <mergeCell ref="E24:E25"/>
    <mergeCell ref="F16:P16"/>
    <mergeCell ref="C35:D35"/>
    <mergeCell ref="F35:L37"/>
    <mergeCell ref="Q35:U35"/>
    <mergeCell ref="Q36:U36"/>
    <mergeCell ref="Q37:U37"/>
    <mergeCell ref="F26:X27"/>
    <mergeCell ref="F29:K29"/>
    <mergeCell ref="O29:U29"/>
    <mergeCell ref="F30:G30"/>
    <mergeCell ref="F31:L31"/>
    <mergeCell ref="C72:D72"/>
    <mergeCell ref="A1:B1"/>
    <mergeCell ref="G1:M1"/>
    <mergeCell ref="V1:Y1"/>
    <mergeCell ref="V2:Y2"/>
    <mergeCell ref="B3:S3"/>
    <mergeCell ref="V3:Y3"/>
    <mergeCell ref="AD18:AF18"/>
    <mergeCell ref="F21:I21"/>
    <mergeCell ref="F5:L5"/>
    <mergeCell ref="M5:P5"/>
    <mergeCell ref="Z5:AI5"/>
    <mergeCell ref="A6:B6"/>
    <mergeCell ref="F7:X7"/>
    <mergeCell ref="AB9:AC9"/>
    <mergeCell ref="AE9:AF9"/>
    <mergeCell ref="AH9:AI9"/>
    <mergeCell ref="R17:V17"/>
    <mergeCell ref="F22:G22"/>
    <mergeCell ref="I22:K22"/>
    <mergeCell ref="M22:O22"/>
    <mergeCell ref="F23:Q23"/>
    <mergeCell ref="C24:C25"/>
    <mergeCell ref="D24:D25"/>
  </mergeCells>
  <conditionalFormatting sqref="V39 C34:E34">
    <cfRule type="cellIs" dxfId="85" priority="21" stopIfTrue="1" operator="between">
      <formula>2.7</formula>
      <formula>4</formula>
    </cfRule>
    <cfRule type="cellIs" dxfId="84" priority="22" stopIfTrue="1" operator="greaterThan">
      <formula>4</formula>
    </cfRule>
  </conditionalFormatting>
  <conditionalFormatting sqref="C16:E16">
    <cfRule type="cellIs" dxfId="83" priority="17" operator="notEqual">
      <formula>75</formula>
    </cfRule>
    <cfRule type="cellIs" dxfId="82" priority="18" operator="notEqual">
      <formula>75</formula>
    </cfRule>
    <cfRule type="cellIs" dxfId="81" priority="19" operator="notEqual">
      <formula>75</formula>
    </cfRule>
    <cfRule type="cellIs" dxfId="80" priority="20" operator="notEqual">
      <formula>75</formula>
    </cfRule>
  </conditionalFormatting>
  <conditionalFormatting sqref="C16:E16">
    <cfRule type="cellIs" dxfId="79" priority="16" operator="notEqual">
      <formula>75</formula>
    </cfRule>
  </conditionalFormatting>
  <conditionalFormatting sqref="C16:E16">
    <cfRule type="cellIs" dxfId="78" priority="13" operator="notEqual">
      <formula>75</formula>
    </cfRule>
    <cfRule type="cellIs" dxfId="77" priority="14" operator="notEqual">
      <formula>75</formula>
    </cfRule>
    <cfRule type="cellIs" dxfId="76" priority="15" operator="notEqual">
      <formula>75</formula>
    </cfRule>
  </conditionalFormatting>
  <conditionalFormatting sqref="C16:E16">
    <cfRule type="cellIs" dxfId="75" priority="11" operator="notEqual">
      <formula>75</formula>
    </cfRule>
    <cfRule type="cellIs" dxfId="74" priority="12" operator="notEqual">
      <formula>75</formula>
    </cfRule>
  </conditionalFormatting>
  <hyperlinks>
    <hyperlink ref="V2" r:id="rId1"/>
    <hyperlink ref="B29" location="'Beer Kit'!R54" display="'Beer Kit'!R54"/>
    <hyperlink ref="G52" location="'Primer'!D1" display="Priming Calc's. For Beers Etc."/>
    <hyperlink ref="D57" location="'Beer Kit Calc's'!Y5" display="'Beer Kit Calc's'!Y5"/>
    <hyperlink ref="D58" location="'Beer Kit Calc's'!Y5" display="'Beer Kit Calc's'!Y5"/>
    <hyperlink ref="V112" r:id="rId2"/>
    <hyperlink ref="V113" r:id="rId3" display="david.barrow@live.co.uk"/>
    <hyperlink ref="S55" r:id="rId4" display="www.petespintpot.co.uk/health.html "/>
    <hyperlink ref="L61" r:id="rId5" display="www.petespintpot.co.uk/diabetic.html "/>
    <hyperlink ref="D3" location="'Gluten-Free Calc'!Q18" display="'Gluten-Free Calc'!Q18"/>
    <hyperlink ref="G3" location="'Gluten-Free Calc'!H77" display="g / litre"/>
    <hyperlink ref="J28" location="'Gluten-Free Calc'!J100" display="See cells J100 etc. for the Isomerised hop extract settings."/>
    <hyperlink ref="D57:N57" location="'Beer Kit'!S48" display="'Beer Kit'!S48"/>
    <hyperlink ref="D57:O57" location="'Beer Kit'!R54" display="'Beer Kit'!R54"/>
    <hyperlink ref="AA6" r:id="rId6"/>
    <hyperlink ref="O13" r:id="rId7" location="simple"/>
    <hyperlink ref="Q41:U41" location="'Beer Kit'!B60" display="See cells B60 for batch priming."/>
    <hyperlink ref="C24:C25" location="'Beer Kit'!C19" display="'Beer Kit'!C19"/>
    <hyperlink ref="G52:L52" location="Primer!F1" display="For more information see the &quot;Primer&quot; page."/>
    <hyperlink ref="B16" location="'Beer Data Sheet'!AN4" display="Yeast efficiency % (attenuation - generally 75 is assumed)"/>
    <hyperlink ref="C64:D64" location="Primer!F1" display="See &quot;Priming&quot; page."/>
    <hyperlink ref="E24:E25" location="'Beer Kit'!E19" display="'Beer Kit'!E19"/>
    <hyperlink ref="D24:D25" location="'Beer Kit'!D19" display="'Beer Kit'!D19"/>
    <hyperlink ref="B21" location="'Beer Kit'!G21" display="Hop extract added (ml)"/>
    <hyperlink ref="H39" r:id="rId8"/>
    <hyperlink ref="H40" r:id="rId9"/>
    <hyperlink ref="Q41:V41" location="'Beer Kit'!B57" display="See cells B57 for batch priming."/>
  </hyperlinks>
  <printOptions horizontalCentered="1"/>
  <pageMargins left="0.23622047244094491" right="0.23622047244094491" top="0.52" bottom="0.70866141732283472" header="0.23622047244094491" footer="0.6692913385826772"/>
  <pageSetup paperSize="9" scale="47" orientation="portrait" horizontalDpi="30066" verticalDpi="26478" r:id="rId10"/>
  <headerFooter alignWithMargins="0"/>
  <colBreaks count="1" manualBreakCount="1">
    <brk id="25" max="1048575" man="1"/>
  </colBreaks>
  <drawing r:id="rId11"/>
</worksheet>
</file>

<file path=xl/worksheets/sheet4.xml><?xml version="1.0" encoding="utf-8"?>
<worksheet xmlns="http://schemas.openxmlformats.org/spreadsheetml/2006/main" xmlns:r="http://schemas.openxmlformats.org/officeDocument/2006/relationships">
  <sheetPr>
    <tabColor indexed="52"/>
    <pageSetUpPr fitToPage="1"/>
  </sheetPr>
  <dimension ref="A1:BN207"/>
  <sheetViews>
    <sheetView zoomScale="75" zoomScaleNormal="75" zoomScaleSheetLayoutView="100" workbookViewId="0">
      <pane ySplit="16" topLeftCell="A17" activePane="bottomLeft" state="frozen"/>
      <selection pane="bottomLeft" activeCell="F34" sqref="F34"/>
    </sheetView>
  </sheetViews>
  <sheetFormatPr defaultColWidth="7" defaultRowHeight="15"/>
  <cols>
    <col min="1" max="1" width="3.28515625" style="412" customWidth="1"/>
    <col min="2" max="2" width="38.28515625" style="412" customWidth="1"/>
    <col min="3" max="3" width="10.140625" style="412" customWidth="1"/>
    <col min="4" max="4" width="8.140625" style="412" customWidth="1"/>
    <col min="5" max="6" width="8.5703125" style="412" customWidth="1"/>
    <col min="7" max="7" width="9.42578125" style="412" customWidth="1"/>
    <col min="8" max="8" width="25.28515625" style="412" customWidth="1"/>
    <col min="9" max="9" width="10.5703125" style="412" customWidth="1"/>
    <col min="10" max="27" width="9.85546875" style="412" customWidth="1"/>
    <col min="28" max="28" width="7.85546875" style="412" hidden="1" customWidth="1"/>
    <col min="29" max="29" width="8.28515625" style="412" hidden="1" customWidth="1"/>
    <col min="30" max="30" width="7.85546875" style="412" hidden="1" customWidth="1"/>
    <col min="31" max="32" width="12.42578125" style="412" hidden="1" customWidth="1"/>
    <col min="33" max="33" width="7.7109375" style="412" hidden="1" customWidth="1"/>
    <col min="34" max="34" width="7.85546875" style="412" hidden="1" customWidth="1"/>
    <col min="35" max="35" width="8.140625" style="412" hidden="1" customWidth="1"/>
    <col min="36" max="36" width="3.85546875" style="412" hidden="1" customWidth="1"/>
    <col min="37" max="54" width="6.7109375" style="412" hidden="1" customWidth="1"/>
    <col min="55" max="55" width="2.140625" style="412" customWidth="1"/>
    <col min="56" max="56" width="6.140625" style="412" customWidth="1"/>
    <col min="57" max="57" width="8.5703125" style="412" customWidth="1"/>
    <col min="58" max="58" width="7.140625" style="412" customWidth="1"/>
    <col min="59" max="59" width="6.7109375" style="412" customWidth="1"/>
    <col min="60" max="60" width="9.7109375" style="412" customWidth="1"/>
    <col min="61" max="61" width="7.7109375" style="412" customWidth="1"/>
    <col min="62" max="62" width="7.42578125" style="412" customWidth="1"/>
    <col min="63" max="64" width="7.28515625" style="412" customWidth="1"/>
    <col min="65" max="65" width="5.5703125" style="412" customWidth="1"/>
    <col min="66" max="66" width="3" style="412" customWidth="1"/>
    <col min="67" max="16384" width="7" style="78"/>
  </cols>
  <sheetData>
    <row r="1" spans="1:66" s="342" customFormat="1" ht="30.75" customHeight="1">
      <c r="A1" s="4504" t="s">
        <v>1918</v>
      </c>
      <c r="B1" s="4504"/>
      <c r="C1" s="582"/>
      <c r="D1" s="583"/>
      <c r="E1" s="583"/>
      <c r="F1" s="583"/>
      <c r="G1" s="583"/>
      <c r="H1" s="583"/>
      <c r="I1" s="363"/>
      <c r="J1" s="363"/>
      <c r="K1" s="363"/>
      <c r="L1" s="358"/>
      <c r="M1" s="4430" t="s">
        <v>1897</v>
      </c>
      <c r="N1" s="4430"/>
      <c r="O1" s="4430"/>
      <c r="P1" s="4430"/>
      <c r="Q1" s="4430"/>
      <c r="R1" s="4430"/>
      <c r="S1" s="4430"/>
      <c r="T1" s="908"/>
      <c r="U1" s="1672"/>
      <c r="V1" s="1672"/>
      <c r="W1" s="1672"/>
      <c r="X1" s="1844"/>
      <c r="Y1" s="1847"/>
      <c r="Z1" s="1847"/>
      <c r="AA1" s="1847"/>
      <c r="AB1" s="4473" t="s">
        <v>0</v>
      </c>
      <c r="AC1" s="4473"/>
      <c r="AD1" s="4473"/>
      <c r="AE1" s="4473"/>
      <c r="AF1" s="4473"/>
      <c r="AG1" s="4473"/>
      <c r="AH1" s="4473"/>
      <c r="AI1" s="4473"/>
      <c r="AJ1" s="4473"/>
      <c r="AK1" s="4473"/>
      <c r="AL1" s="4473"/>
      <c r="AM1" s="4473"/>
      <c r="AN1" s="4473"/>
      <c r="AO1" s="4473"/>
      <c r="AP1" s="4473"/>
      <c r="AQ1" s="4473"/>
      <c r="AR1" s="4473"/>
      <c r="AS1" s="4473"/>
      <c r="AT1" s="4473"/>
      <c r="AU1" s="4473"/>
      <c r="AV1" s="4473"/>
      <c r="AW1" s="4473"/>
      <c r="AX1" s="4473"/>
      <c r="AY1" s="4473"/>
      <c r="AZ1" s="4473"/>
      <c r="BA1" s="4473"/>
      <c r="BB1" s="4473"/>
      <c r="BC1" s="1047"/>
      <c r="BD1" s="1047"/>
      <c r="BE1" s="1047"/>
      <c r="BF1" s="1047"/>
      <c r="BG1" s="573"/>
      <c r="BH1" s="573"/>
      <c r="BI1" s="573"/>
      <c r="BJ1" s="573"/>
      <c r="BK1" s="358"/>
      <c r="BL1" s="4674" t="s">
        <v>1917</v>
      </c>
      <c r="BM1" s="4674"/>
      <c r="BN1" s="3493"/>
    </row>
    <row r="2" spans="1:66" s="342" customFormat="1" ht="15.75" customHeight="1">
      <c r="A2" s="349"/>
      <c r="B2" s="349"/>
      <c r="C2" s="350"/>
      <c r="D2" s="350"/>
      <c r="E2" s="350"/>
      <c r="F2" s="351"/>
      <c r="G2" s="351"/>
      <c r="H2" s="351"/>
      <c r="I2" s="351"/>
      <c r="J2" s="351"/>
      <c r="K2" s="351"/>
      <c r="L2" s="351"/>
      <c r="M2" s="351"/>
      <c r="N2" s="351"/>
      <c r="O2" s="351"/>
      <c r="P2" s="351"/>
      <c r="Q2" s="351"/>
      <c r="R2" s="351"/>
      <c r="S2" s="351"/>
      <c r="T2" s="351"/>
      <c r="U2" s="4443" t="s">
        <v>1827</v>
      </c>
      <c r="V2" s="358"/>
      <c r="W2" s="574"/>
      <c r="X2" s="1845"/>
      <c r="Y2" s="1848"/>
      <c r="Z2" s="3509"/>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4"/>
      <c r="AZ2" s="614"/>
      <c r="BA2" s="614"/>
      <c r="BB2" s="614"/>
      <c r="BC2" s="614"/>
      <c r="BD2" s="4453"/>
      <c r="BE2" s="2524"/>
      <c r="BF2" s="1047"/>
      <c r="BG2" s="573"/>
      <c r="BH2" s="573"/>
      <c r="BI2" s="346"/>
      <c r="BJ2" s="346"/>
      <c r="BK2" s="4676" t="s">
        <v>1</v>
      </c>
      <c r="BL2" s="4676"/>
      <c r="BM2" s="4676"/>
      <c r="BN2" s="3493"/>
    </row>
    <row r="3" spans="1:66" s="342" customFormat="1" ht="14.25" customHeight="1">
      <c r="A3" s="4492" t="s">
        <v>2</v>
      </c>
      <c r="B3" s="4492"/>
      <c r="C3" s="4379" t="s">
        <v>3</v>
      </c>
      <c r="D3" s="4379"/>
      <c r="E3" s="4379"/>
      <c r="F3" s="4379"/>
      <c r="G3" s="4379"/>
      <c r="H3" s="4379"/>
      <c r="I3" s="353"/>
      <c r="J3" s="344"/>
      <c r="K3" s="3762"/>
      <c r="L3" s="354"/>
      <c r="M3" s="354"/>
      <c r="N3" s="354"/>
      <c r="O3" s="344"/>
      <c r="P3" s="344"/>
      <c r="Q3" s="344"/>
      <c r="R3" s="344"/>
      <c r="S3" s="344"/>
      <c r="T3" s="358"/>
      <c r="U3" s="4443"/>
      <c r="V3" s="574"/>
      <c r="W3" s="2472"/>
      <c r="X3" s="1846"/>
      <c r="Y3" s="1849"/>
      <c r="Z3" s="1849"/>
      <c r="AA3" s="1849"/>
      <c r="AB3" s="1849"/>
      <c r="AC3" s="1849"/>
      <c r="AD3" s="1849"/>
      <c r="AE3" s="1849"/>
      <c r="AF3" s="1849"/>
      <c r="AG3" s="1849"/>
      <c r="AH3" s="1849"/>
      <c r="AI3" s="1849"/>
      <c r="AJ3" s="1849"/>
      <c r="AK3" s="1849"/>
      <c r="AL3" s="1849"/>
      <c r="AM3" s="1849"/>
      <c r="AN3" s="1849"/>
      <c r="AO3" s="1849"/>
      <c r="AP3" s="1849"/>
      <c r="AQ3" s="1849"/>
      <c r="AR3" s="1849"/>
      <c r="AS3" s="1849"/>
      <c r="AT3" s="1849"/>
      <c r="AU3" s="1849"/>
      <c r="AV3" s="1849"/>
      <c r="AW3" s="1849"/>
      <c r="AX3" s="1849"/>
      <c r="AY3" s="1849"/>
      <c r="AZ3" s="1849"/>
      <c r="BA3" s="1849"/>
      <c r="BB3" s="1849"/>
      <c r="BC3" s="1850"/>
      <c r="BD3" s="4453"/>
      <c r="BE3" s="2524"/>
      <c r="BF3" s="1047"/>
      <c r="BG3" s="573"/>
      <c r="BH3" s="573"/>
      <c r="BI3" s="348"/>
      <c r="BJ3" s="346"/>
      <c r="BK3" s="4675" t="s">
        <v>307</v>
      </c>
      <c r="BL3" s="4675"/>
      <c r="BM3" s="4675"/>
      <c r="BN3" s="3493"/>
    </row>
    <row r="4" spans="1:66" s="342" customFormat="1" ht="14.25" customHeight="1">
      <c r="A4" s="349"/>
      <c r="B4" s="355" t="s">
        <v>4</v>
      </c>
      <c r="C4" s="3827">
        <v>15</v>
      </c>
      <c r="D4" s="4493" t="str">
        <f>"litres ≈ "&amp;FIXED(C4*1.76)&amp;" UK ̸ "&amp;FIXED(C4*1.76*6/5)&amp;" US pt."</f>
        <v>litres ≈ 26.40 UK ̸ 31.68 US pt.</v>
      </c>
      <c r="E4" s="4493"/>
      <c r="F4" s="4493"/>
      <c r="G4" s="4493"/>
      <c r="H4" s="356" t="s">
        <v>5</v>
      </c>
      <c r="I4" s="2557">
        <v>20</v>
      </c>
      <c r="J4" s="3761" t="s">
        <v>6</v>
      </c>
      <c r="K4" s="363"/>
      <c r="L4" s="363"/>
      <c r="M4" s="2"/>
      <c r="N4" s="4494" t="s">
        <v>7</v>
      </c>
      <c r="O4" s="4101"/>
      <c r="P4" s="4101"/>
      <c r="Q4" s="4101"/>
      <c r="R4" s="4101"/>
      <c r="S4" s="350"/>
      <c r="T4" s="350"/>
      <c r="U4" s="4443"/>
      <c r="V4" s="2527"/>
      <c r="W4" s="2525"/>
      <c r="X4" s="2526"/>
      <c r="Y4" s="1848"/>
      <c r="Z4" s="3509"/>
      <c r="AA4" s="614"/>
      <c r="AB4" s="1851"/>
      <c r="AC4" s="1851"/>
      <c r="AD4" s="1851"/>
      <c r="AE4" s="1851"/>
      <c r="AF4" s="614"/>
      <c r="AG4" s="614"/>
      <c r="AH4" s="1851"/>
      <c r="AI4" s="1851"/>
      <c r="AJ4" s="1851"/>
      <c r="AK4" s="1851"/>
      <c r="AL4" s="1851"/>
      <c r="AM4" s="1851"/>
      <c r="AN4" s="1851"/>
      <c r="AO4" s="1851"/>
      <c r="AP4" s="1851"/>
      <c r="AQ4" s="1851"/>
      <c r="AR4" s="1851"/>
      <c r="AS4" s="1851"/>
      <c r="AT4" s="1851"/>
      <c r="AU4" s="1851"/>
      <c r="AV4" s="1851"/>
      <c r="AW4" s="1851"/>
      <c r="AX4" s="1851"/>
      <c r="AY4" s="1851"/>
      <c r="AZ4" s="1851"/>
      <c r="BA4" s="1851"/>
      <c r="BB4" s="1851"/>
      <c r="BC4" s="1852"/>
      <c r="BD4" s="4453"/>
      <c r="BE4" s="2524"/>
      <c r="BF4" s="1047"/>
      <c r="BG4" s="573"/>
      <c r="BH4" s="1839"/>
      <c r="BI4" s="363"/>
      <c r="BJ4" s="363"/>
      <c r="BK4" s="363"/>
      <c r="BL4" s="363"/>
      <c r="BM4" s="1840"/>
      <c r="BN4" s="322"/>
    </row>
    <row r="5" spans="1:66" s="342" customFormat="1" ht="14.25" customHeight="1">
      <c r="A5" s="349"/>
      <c r="B5" s="359" t="s">
        <v>8</v>
      </c>
      <c r="C5" s="2556">
        <v>75</v>
      </c>
      <c r="D5" s="4496" t="s">
        <v>9</v>
      </c>
      <c r="E5" s="4496"/>
      <c r="F5" s="4496"/>
      <c r="G5" s="4496"/>
      <c r="H5" s="4496"/>
      <c r="I5" s="3508"/>
      <c r="J5" s="360"/>
      <c r="K5" s="352"/>
      <c r="L5" s="352"/>
      <c r="M5" s="4"/>
      <c r="N5" s="4495"/>
      <c r="O5" s="4101"/>
      <c r="P5" s="4101"/>
      <c r="Q5" s="4101"/>
      <c r="R5" s="4101"/>
      <c r="S5" s="350"/>
      <c r="T5" s="350"/>
      <c r="U5" s="4443"/>
      <c r="V5" s="2527"/>
      <c r="W5" s="2525"/>
      <c r="X5" s="2526"/>
      <c r="Y5" s="1848"/>
      <c r="Z5" s="3509"/>
      <c r="AA5" s="614"/>
      <c r="AB5" s="1853" t="s">
        <v>21</v>
      </c>
      <c r="AC5" s="1853" t="s">
        <v>22</v>
      </c>
      <c r="AD5" s="1853" t="s">
        <v>23</v>
      </c>
      <c r="AE5" s="614"/>
      <c r="AF5" s="614"/>
      <c r="AG5" s="614"/>
      <c r="AH5" s="614"/>
      <c r="AI5" s="1851"/>
      <c r="AJ5" s="1851"/>
      <c r="AK5" s="1851"/>
      <c r="AL5" s="1851"/>
      <c r="AM5" s="1851"/>
      <c r="AN5" s="1851"/>
      <c r="AO5" s="1851"/>
      <c r="AP5" s="1851"/>
      <c r="AQ5" s="1851"/>
      <c r="AR5" s="1851"/>
      <c r="AS5" s="1851"/>
      <c r="AT5" s="1851"/>
      <c r="AU5" s="1851"/>
      <c r="AV5" s="1851"/>
      <c r="AW5" s="1851"/>
      <c r="AX5" s="1851"/>
      <c r="AY5" s="1851"/>
      <c r="AZ5" s="1851"/>
      <c r="BA5" s="1851"/>
      <c r="BB5" s="1851"/>
      <c r="BC5" s="1852"/>
      <c r="BD5" s="4453"/>
      <c r="BE5" s="2524"/>
      <c r="BF5" s="1047"/>
      <c r="BG5" s="573"/>
      <c r="BH5" s="1839"/>
      <c r="BI5" s="363"/>
      <c r="BJ5" s="363"/>
      <c r="BK5" s="363"/>
      <c r="BL5" s="363"/>
      <c r="BM5" s="1841"/>
      <c r="BN5" s="322"/>
    </row>
    <row r="6" spans="1:66" s="342" customFormat="1" ht="5.25" customHeight="1">
      <c r="A6" s="349"/>
      <c r="B6" s="349"/>
      <c r="C6" s="352"/>
      <c r="D6" s="352"/>
      <c r="E6" s="352"/>
      <c r="F6" s="361"/>
      <c r="G6" s="360"/>
      <c r="H6" s="360"/>
      <c r="I6" s="360"/>
      <c r="J6" s="360"/>
      <c r="K6" s="352"/>
      <c r="L6" s="352"/>
      <c r="M6" s="352"/>
      <c r="N6" s="352"/>
      <c r="O6" s="352"/>
      <c r="P6" s="344"/>
      <c r="Q6" s="344"/>
      <c r="R6" s="344"/>
      <c r="S6" s="350"/>
      <c r="T6" s="344"/>
      <c r="U6" s="4443"/>
      <c r="V6" s="2527"/>
      <c r="W6" s="2525"/>
      <c r="X6" s="2526"/>
      <c r="Y6" s="1848"/>
      <c r="Z6" s="3509"/>
      <c r="AA6" s="614"/>
      <c r="AB6" s="1851"/>
      <c r="AC6" s="614"/>
      <c r="AD6" s="614"/>
      <c r="AE6" s="614"/>
      <c r="AF6" s="614"/>
      <c r="AG6" s="614"/>
      <c r="AH6" s="1851"/>
      <c r="AI6" s="1851"/>
      <c r="AJ6" s="1851"/>
      <c r="AK6" s="1851"/>
      <c r="AL6" s="1851"/>
      <c r="AM6" s="1851"/>
      <c r="AN6" s="1851"/>
      <c r="AO6" s="1851"/>
      <c r="AP6" s="1851"/>
      <c r="AQ6" s="1851"/>
      <c r="AR6" s="1851"/>
      <c r="AS6" s="1851"/>
      <c r="AT6" s="1851"/>
      <c r="AU6" s="1851"/>
      <c r="AV6" s="1851"/>
      <c r="AW6" s="1851"/>
      <c r="AX6" s="1851"/>
      <c r="AY6" s="1851"/>
      <c r="AZ6" s="1851"/>
      <c r="BA6" s="1851"/>
      <c r="BB6" s="1851"/>
      <c r="BC6" s="1852"/>
      <c r="BD6" s="4453"/>
      <c r="BE6" s="2524"/>
      <c r="BF6" s="1047"/>
      <c r="BG6" s="573"/>
      <c r="BH6" s="1839"/>
      <c r="BI6" s="363"/>
      <c r="BJ6" s="363"/>
      <c r="BK6" s="363"/>
      <c r="BL6" s="363"/>
      <c r="BM6" s="1841"/>
      <c r="BN6" s="322"/>
    </row>
    <row r="7" spans="1:66" s="342" customFormat="1" ht="14.25" customHeight="1">
      <c r="A7" s="4497" t="s">
        <v>10</v>
      </c>
      <c r="B7" s="4446"/>
      <c r="C7" s="4446"/>
      <c r="D7" s="4498" t="s">
        <v>1884</v>
      </c>
      <c r="E7" s="4499"/>
      <c r="F7" s="4499"/>
      <c r="G7" s="4499"/>
      <c r="H7" s="4500"/>
      <c r="I7" s="3343" t="s">
        <v>11</v>
      </c>
      <c r="J7" s="4501" t="s">
        <v>12</v>
      </c>
      <c r="K7" s="4502"/>
      <c r="L7" s="4502"/>
      <c r="M7" s="4502"/>
      <c r="N7" s="4502"/>
      <c r="O7" s="4502"/>
      <c r="P7" s="4502"/>
      <c r="Q7" s="4502"/>
      <c r="R7" s="4503"/>
      <c r="S7" s="350"/>
      <c r="T7" s="455"/>
      <c r="U7" s="4443"/>
      <c r="V7" s="2527"/>
      <c r="W7" s="2525"/>
      <c r="X7" s="2526"/>
      <c r="Y7" s="1848"/>
      <c r="Z7" s="3509"/>
      <c r="AA7" s="614"/>
      <c r="AB7" s="1854">
        <v>789.4</v>
      </c>
      <c r="AC7" s="1854">
        <v>7.01</v>
      </c>
      <c r="AD7" s="1854">
        <v>3.85</v>
      </c>
      <c r="AE7" s="1855"/>
      <c r="AF7" s="1855"/>
      <c r="AG7" s="1855"/>
      <c r="AH7" s="1855"/>
      <c r="AI7" s="1855"/>
      <c r="AJ7" s="1855"/>
      <c r="AK7" s="1855"/>
      <c r="AL7" s="1855"/>
      <c r="AM7" s="1855"/>
      <c r="AN7" s="1855"/>
      <c r="AO7" s="1855"/>
      <c r="AP7" s="1855"/>
      <c r="AQ7" s="1855"/>
      <c r="AR7" s="1855"/>
      <c r="AS7" s="1855"/>
      <c r="AT7" s="1855"/>
      <c r="AU7" s="1855"/>
      <c r="AV7" s="1855"/>
      <c r="AW7" s="1855"/>
      <c r="AX7" s="1855"/>
      <c r="AY7" s="1855"/>
      <c r="AZ7" s="1855"/>
      <c r="BA7" s="1855"/>
      <c r="BB7" s="1855"/>
      <c r="BC7" s="1852"/>
      <c r="BD7" s="4453"/>
      <c r="BE7" s="2524"/>
      <c r="BF7" s="1047"/>
      <c r="BG7" s="573"/>
      <c r="BH7" s="1839"/>
      <c r="BI7" s="363"/>
      <c r="BJ7" s="363"/>
      <c r="BK7" s="363"/>
      <c r="BL7" s="363"/>
      <c r="BM7" s="1841"/>
      <c r="BN7" s="322"/>
    </row>
    <row r="8" spans="1:66" s="342" customFormat="1" ht="15" customHeight="1">
      <c r="A8" s="4474" t="s">
        <v>13</v>
      </c>
      <c r="B8" s="4460"/>
      <c r="C8" s="2466">
        <f>1000+AF89</f>
        <v>1047.0266666666666</v>
      </c>
      <c r="D8" s="4475" t="s">
        <v>14</v>
      </c>
      <c r="E8" s="4460"/>
      <c r="F8" s="4460"/>
      <c r="G8" s="4460"/>
      <c r="H8" s="5">
        <f>1000+AF88</f>
        <v>1048.7985416666668</v>
      </c>
      <c r="I8" s="3396">
        <v>1033</v>
      </c>
      <c r="J8" s="4440" t="s">
        <v>15</v>
      </c>
      <c r="K8" s="4441"/>
      <c r="L8" s="4441"/>
      <c r="M8" s="4441"/>
      <c r="N8" s="4441"/>
      <c r="O8" s="4441"/>
      <c r="P8" s="4441"/>
      <c r="Q8" s="4441"/>
      <c r="R8" s="4442"/>
      <c r="S8" s="350"/>
      <c r="T8" s="456"/>
      <c r="U8" s="4443"/>
      <c r="V8" s="2527"/>
      <c r="W8" s="2525"/>
      <c r="X8" s="2526"/>
      <c r="Y8" s="1848"/>
      <c r="Z8" s="3509"/>
      <c r="AA8" s="614"/>
      <c r="AB8" s="614"/>
      <c r="AC8" s="1856">
        <f>0.01*AB9*(H8-H9)/(7.75-(3*(H8-1000)/800))</f>
        <v>0.27852445470481468</v>
      </c>
      <c r="AD8" s="1856" t="s">
        <v>33</v>
      </c>
      <c r="AE8" s="1857"/>
      <c r="AF8" s="1857"/>
      <c r="AG8" s="1857"/>
      <c r="AH8" s="1857"/>
      <c r="AI8" s="1857"/>
      <c r="AJ8" s="1858"/>
      <c r="AK8" s="1858"/>
      <c r="AL8" s="1858"/>
      <c r="AM8" s="1858"/>
      <c r="AN8" s="1858"/>
      <c r="AO8" s="1858"/>
      <c r="AP8" s="1858"/>
      <c r="AQ8" s="1858"/>
      <c r="AR8" s="1858"/>
      <c r="AS8" s="1858"/>
      <c r="AT8" s="1858"/>
      <c r="AU8" s="1858"/>
      <c r="AV8" s="1858"/>
      <c r="AW8" s="1858"/>
      <c r="AX8" s="1858"/>
      <c r="AY8" s="1858"/>
      <c r="AZ8" s="1858"/>
      <c r="BA8" s="1858"/>
      <c r="BB8" s="1858"/>
      <c r="BC8" s="1852"/>
      <c r="BD8" s="4453"/>
      <c r="BE8" s="2524"/>
      <c r="BF8" s="1047"/>
      <c r="BG8" s="573"/>
      <c r="BH8" s="1839"/>
      <c r="BI8" s="363"/>
      <c r="BJ8" s="363"/>
      <c r="BK8" s="363"/>
      <c r="BL8" s="363"/>
      <c r="BM8" s="1841"/>
      <c r="BN8" s="322"/>
    </row>
    <row r="9" spans="1:66" s="342" customFormat="1" ht="15" customHeight="1">
      <c r="A9" s="4505" t="s">
        <v>16</v>
      </c>
      <c r="B9" s="4101"/>
      <c r="C9" s="2391">
        <f>1000+AF90</f>
        <v>1010.8519166666666</v>
      </c>
      <c r="D9" s="4454" t="s">
        <v>17</v>
      </c>
      <c r="E9" s="4101"/>
      <c r="F9" s="4101"/>
      <c r="G9" s="4101"/>
      <c r="H9" s="367">
        <f>1000+AF91</f>
        <v>1010.7119385416667</v>
      </c>
      <c r="I9" s="3397">
        <v>1004</v>
      </c>
      <c r="J9" s="4455"/>
      <c r="K9" s="4456"/>
      <c r="L9" s="4457"/>
      <c r="M9" s="4458" t="s">
        <v>18</v>
      </c>
      <c r="N9" s="4457"/>
      <c r="O9" s="4480" t="s">
        <v>19</v>
      </c>
      <c r="P9" s="4457"/>
      <c r="Q9" s="4469" t="s">
        <v>20</v>
      </c>
      <c r="R9" s="4470"/>
      <c r="S9" s="350"/>
      <c r="T9" s="457"/>
      <c r="U9" s="4443"/>
      <c r="V9" s="2527"/>
      <c r="W9" s="2525"/>
      <c r="X9" s="2526"/>
      <c r="Y9" s="1848"/>
      <c r="Z9" s="3509"/>
      <c r="AA9" s="614"/>
      <c r="AB9" s="1854">
        <f>AC7*AB7/1000</f>
        <v>5.5336939999999997</v>
      </c>
      <c r="AC9" s="1856">
        <f>0.00000001*H9*((1000*H8)/AB9+(819.2*H9)-1000400)</f>
        <v>0.17287996761726779</v>
      </c>
      <c r="AD9" s="1856" t="s">
        <v>33</v>
      </c>
      <c r="AE9" s="1857"/>
      <c r="AF9" s="1857"/>
      <c r="AG9" s="1857"/>
      <c r="AH9" s="1857"/>
      <c r="AI9" s="1857"/>
      <c r="AJ9" s="1858"/>
      <c r="AK9" s="1858"/>
      <c r="AL9" s="1858"/>
      <c r="AM9" s="1858"/>
      <c r="AN9" s="1858"/>
      <c r="AO9" s="1858"/>
      <c r="AP9" s="1858"/>
      <c r="AQ9" s="1858"/>
      <c r="AR9" s="1858"/>
      <c r="AS9" s="1858"/>
      <c r="AT9" s="1858"/>
      <c r="AU9" s="1858"/>
      <c r="AV9" s="1858"/>
      <c r="AW9" s="1858"/>
      <c r="AX9" s="1858"/>
      <c r="AY9" s="1858"/>
      <c r="AZ9" s="1858"/>
      <c r="BA9" s="1858"/>
      <c r="BB9" s="1858"/>
      <c r="BC9" s="1852"/>
      <c r="BD9" s="4453"/>
      <c r="BE9" s="614"/>
      <c r="BF9" s="1047"/>
      <c r="BG9" s="573"/>
      <c r="BH9" s="1839"/>
      <c r="BI9" s="363"/>
      <c r="BJ9" s="363"/>
      <c r="BK9" s="363"/>
      <c r="BL9" s="363"/>
      <c r="BM9" s="1841"/>
      <c r="BN9" s="322"/>
    </row>
    <row r="10" spans="1:66" s="342" customFormat="1" ht="15.75" customHeight="1">
      <c r="A10" s="4476" t="s">
        <v>24</v>
      </c>
      <c r="B10" s="4101"/>
      <c r="C10" s="2391">
        <f>(C8-C9)/(7.75-(3*(C8-1000)/800))</f>
        <v>4.7763957933097014</v>
      </c>
      <c r="D10" s="4477" t="s">
        <v>25</v>
      </c>
      <c r="E10" s="4101"/>
      <c r="F10" s="4101"/>
      <c r="G10" s="4101"/>
      <c r="H10" s="2470">
        <f>((H8-H9)/(7.75-(3*(H8-1000)/800)))</f>
        <v>5.0332464119775091</v>
      </c>
      <c r="I10" s="3397">
        <v>3.7</v>
      </c>
      <c r="J10" s="4478" t="s">
        <v>26</v>
      </c>
      <c r="K10" s="4446"/>
      <c r="L10" s="4479"/>
      <c r="M10" s="6">
        <v>330</v>
      </c>
      <c r="N10" s="7" t="s">
        <v>27</v>
      </c>
      <c r="O10" s="8">
        <v>1</v>
      </c>
      <c r="P10" s="9" t="s">
        <v>28</v>
      </c>
      <c r="Q10" s="10">
        <v>12</v>
      </c>
      <c r="R10" s="11" t="s">
        <v>29</v>
      </c>
      <c r="S10" s="350"/>
      <c r="T10" s="458"/>
      <c r="U10" s="4443"/>
      <c r="V10" s="2527"/>
      <c r="W10" s="2525"/>
      <c r="X10" s="2526"/>
      <c r="Y10" s="614"/>
      <c r="Z10" s="614"/>
      <c r="AA10" s="614"/>
      <c r="AB10" s="614"/>
      <c r="AC10" s="614"/>
      <c r="AD10" s="614"/>
      <c r="AE10" s="1857"/>
      <c r="AF10" s="1857"/>
      <c r="AG10" s="1857"/>
      <c r="AH10" s="1857"/>
      <c r="AI10" s="1857"/>
      <c r="AJ10" s="1858"/>
      <c r="AK10" s="1858"/>
      <c r="AL10" s="1858"/>
      <c r="AM10" s="1858"/>
      <c r="AN10" s="1858"/>
      <c r="AO10" s="1858"/>
      <c r="AP10" s="1858"/>
      <c r="AQ10" s="1858"/>
      <c r="AR10" s="1858"/>
      <c r="AS10" s="1858"/>
      <c r="AT10" s="1858"/>
      <c r="AU10" s="1858"/>
      <c r="AV10" s="1858"/>
      <c r="AW10" s="1858"/>
      <c r="AX10" s="1858"/>
      <c r="AY10" s="1858"/>
      <c r="AZ10" s="1858"/>
      <c r="BA10" s="1858"/>
      <c r="BB10" s="1858"/>
      <c r="BC10" s="1852"/>
      <c r="BD10" s="614"/>
      <c r="BE10" s="614"/>
      <c r="BF10" s="1047"/>
      <c r="BG10" s="573"/>
      <c r="BH10" s="1839"/>
      <c r="BI10" s="363"/>
      <c r="BJ10" s="363"/>
      <c r="BK10" s="363"/>
      <c r="BL10" s="363"/>
      <c r="BM10" s="1841"/>
      <c r="BN10" s="322"/>
    </row>
    <row r="11" spans="1:66" s="342" customFormat="1" ht="15" customHeight="1">
      <c r="A11" s="4471" t="s">
        <v>30</v>
      </c>
      <c r="B11" s="4467"/>
      <c r="C11" s="2467">
        <f>VLOOKUP($I$4,$AB$88:$AC$132,2)</f>
        <v>0.877</v>
      </c>
      <c r="D11" s="4472" t="s">
        <v>31</v>
      </c>
      <c r="E11" s="4467"/>
      <c r="F11" s="4467"/>
      <c r="G11" s="4467"/>
      <c r="H11" s="2469" t="str">
        <f>FIXED(C85)</f>
        <v>2.11</v>
      </c>
      <c r="I11" s="3398" t="str">
        <f>H11</f>
        <v>2.11</v>
      </c>
      <c r="J11" s="4459" t="s">
        <v>32</v>
      </c>
      <c r="K11" s="4460"/>
      <c r="L11" s="4461"/>
      <c r="M11" s="370">
        <f>AC8*M10</f>
        <v>91.91307005258885</v>
      </c>
      <c r="N11" s="371"/>
      <c r="O11" s="372">
        <f>568*AC8*O10</f>
        <v>158.20189027233474</v>
      </c>
      <c r="P11" s="373"/>
      <c r="Q11" s="370">
        <f>29.57*AC8*Q10</f>
        <v>98.831617507456457</v>
      </c>
      <c r="R11" s="374"/>
      <c r="S11" s="350"/>
      <c r="T11" s="459"/>
      <c r="U11" s="4443"/>
      <c r="V11" s="2527"/>
      <c r="W11" s="2525"/>
      <c r="X11" s="2526"/>
      <c r="Y11" s="614"/>
      <c r="Z11" s="614"/>
      <c r="AA11" s="614"/>
      <c r="AB11" s="614"/>
      <c r="AC11" s="614"/>
      <c r="AD11" s="614"/>
      <c r="AE11" s="1857"/>
      <c r="AF11" s="1857"/>
      <c r="AG11" s="1857"/>
      <c r="AH11" s="1857"/>
      <c r="AI11" s="1857"/>
      <c r="AJ11" s="1858"/>
      <c r="AK11" s="1858"/>
      <c r="AL11" s="1858"/>
      <c r="AM11" s="1858"/>
      <c r="AN11" s="1858"/>
      <c r="AO11" s="1858"/>
      <c r="AP11" s="1858"/>
      <c r="AQ11" s="1858"/>
      <c r="AR11" s="1858"/>
      <c r="AS11" s="1858"/>
      <c r="AT11" s="1858"/>
      <c r="AU11" s="1858"/>
      <c r="AV11" s="1858"/>
      <c r="AW11" s="1858"/>
      <c r="AX11" s="1858"/>
      <c r="AY11" s="1858"/>
      <c r="AZ11" s="1858"/>
      <c r="BA11" s="1858"/>
      <c r="BB11" s="1858"/>
      <c r="BC11" s="1852"/>
      <c r="BD11" s="614"/>
      <c r="BE11" s="614"/>
      <c r="BF11" s="1047"/>
      <c r="BG11" s="573"/>
      <c r="BH11" s="1839"/>
      <c r="BI11" s="363"/>
      <c r="BJ11" s="363"/>
      <c r="BK11" s="363"/>
      <c r="BL11" s="363"/>
      <c r="BM11" s="363"/>
      <c r="BN11" s="322"/>
    </row>
    <row r="12" spans="1:66" s="342" customFormat="1" ht="15" customHeight="1">
      <c r="A12" s="4462" t="s">
        <v>34</v>
      </c>
      <c r="B12" s="4463"/>
      <c r="C12" s="2392" t="str">
        <f>L77&amp;","</f>
        <v>29.3 EBU,</v>
      </c>
      <c r="D12" s="4464" t="str">
        <f>"the actual BU ̸ GU ratio is "&amp;FIXED(O77)&amp;" ("&amp;IF(O77&gt;0.81,"Too Hoppy?",IF(O77&gt;0.65,"Very Hoppy",IF(O77&gt;0.55,"Slightly Hoppy",IF(O77&gt;0.45,"Balanced",IF(O77&gt;0.35,"Slightly Malty",IF(O77&gt;0.25,"Very Malty",IF((O77+0.001)&gt;0,"Too Malty?")))))))&amp;")"</f>
        <v>the actual BU ̸ GU ratio is 0.60 (Slightly Hoppy)</v>
      </c>
      <c r="E12" s="4463"/>
      <c r="F12" s="4463"/>
      <c r="G12" s="4463"/>
      <c r="H12" s="4465"/>
      <c r="I12" s="3399">
        <v>40</v>
      </c>
      <c r="J12" s="4466" t="s">
        <v>35</v>
      </c>
      <c r="K12" s="4467"/>
      <c r="L12" s="4468"/>
      <c r="M12" s="370">
        <f>AC9*M10</f>
        <v>57.050389313698368</v>
      </c>
      <c r="N12" s="371"/>
      <c r="O12" s="372">
        <f>568*AC9*O10</f>
        <v>98.195821606608106</v>
      </c>
      <c r="P12" s="373"/>
      <c r="Q12" s="370">
        <f>29.57*AC9*Q10</f>
        <v>61.344727709311307</v>
      </c>
      <c r="R12" s="374"/>
      <c r="S12" s="350"/>
      <c r="T12" s="459"/>
      <c r="U12" s="4443"/>
      <c r="V12" s="2527"/>
      <c r="W12" s="2527"/>
      <c r="X12" s="2527"/>
      <c r="Y12" s="614"/>
      <c r="Z12" s="614"/>
      <c r="AA12" s="614"/>
      <c r="AB12" s="614"/>
      <c r="AC12" s="614"/>
      <c r="AD12" s="614"/>
      <c r="AE12" s="1857"/>
      <c r="AF12" s="614"/>
      <c r="AG12" s="1857"/>
      <c r="AH12" s="1857"/>
      <c r="AI12" s="1857"/>
      <c r="AJ12" s="1858"/>
      <c r="AK12" s="1858"/>
      <c r="AL12" s="1858"/>
      <c r="AM12" s="1858"/>
      <c r="AN12" s="1858"/>
      <c r="AO12" s="1858"/>
      <c r="AP12" s="1858"/>
      <c r="AQ12" s="1858"/>
      <c r="AR12" s="1858"/>
      <c r="AS12" s="1858"/>
      <c r="AT12" s="1858"/>
      <c r="AU12" s="1858"/>
      <c r="AV12" s="1858"/>
      <c r="AW12" s="1858"/>
      <c r="AX12" s="1858"/>
      <c r="AY12" s="1858"/>
      <c r="AZ12" s="1858"/>
      <c r="BA12" s="1858"/>
      <c r="BB12" s="1858"/>
      <c r="BC12" s="1852"/>
      <c r="BD12" s="614"/>
      <c r="BE12" s="614"/>
      <c r="BF12" s="1047"/>
      <c r="BG12" s="573"/>
      <c r="BH12" s="1839"/>
      <c r="BI12" s="363"/>
      <c r="BJ12" s="363"/>
      <c r="BK12" s="363"/>
      <c r="BL12" s="363"/>
      <c r="BM12" s="363"/>
      <c r="BN12" s="3493"/>
    </row>
    <row r="13" spans="1:66" s="342" customFormat="1" ht="15" customHeight="1">
      <c r="A13" s="4481" t="s">
        <v>36</v>
      </c>
      <c r="B13" s="4101"/>
      <c r="C13" s="2392" t="str">
        <f>R77&amp;","</f>
        <v>26.6 EBU,</v>
      </c>
      <c r="D13" s="4482" t="str">
        <f>"the actual BU ̸ GU ratio is "&amp;FIXED(U77)&amp;" ("&amp;IF(U77&gt;0.81,"Too Hoppy?",IF(U77&gt;0.65,"Very Hoppy",IF(U77&gt;0.55,"Slightly Hoppy",IF(U77&gt;0.45,"Balanced",IF(U77&gt;0.35,"Slightly Malty",IF(U77&gt;0.25,"Very Malty",IF((U77+0.001)&gt;0,"Too Malty?")))))))&amp;")"</f>
        <v>the actual BU ̸ GU ratio is 0.54 (Balanced)</v>
      </c>
      <c r="E13" s="4101"/>
      <c r="F13" s="4101"/>
      <c r="G13" s="4101"/>
      <c r="H13" s="4174"/>
      <c r="I13" s="4483" t="str">
        <f>"("&amp;IF(I12/((I8-1000)+0.001)&gt;0.81,"Too Hoppy?",IF(I12/(I8-1000)&gt;0.65,"Very Hoppy",IF(I12/(I8-1000)&gt;0.55,"Slightly Hoppy",IF(I12/(I8-1000)&gt;0.45,"Balanced",IF(I12/(I8-1000)&gt;0.35,"Slightly Malty",IF(I12/(I8-1000)&gt;0.25,"Very Malty",IF((I12+0.001)/(I8-1000)&gt;0,"Too Malty?")))))))&amp;")"</f>
        <v>(Too Hoppy?)</v>
      </c>
      <c r="J13" s="4485" t="s">
        <v>37</v>
      </c>
      <c r="K13" s="4463"/>
      <c r="L13" s="4486"/>
      <c r="M13" s="376">
        <f>SUM(M11:M12)</f>
        <v>148.96345936628722</v>
      </c>
      <c r="N13" s="377"/>
      <c r="O13" s="378">
        <f>SUM(O11:O12)</f>
        <v>256.39771187894286</v>
      </c>
      <c r="P13" s="379"/>
      <c r="Q13" s="376">
        <f>SUM(Q11:Q12)</f>
        <v>160.17634521676777</v>
      </c>
      <c r="R13" s="380"/>
      <c r="S13" s="350"/>
      <c r="T13" s="372"/>
      <c r="U13" s="4443"/>
      <c r="V13" s="613"/>
      <c r="W13" s="613"/>
      <c r="X13" s="614"/>
      <c r="Y13" s="614"/>
      <c r="Z13" s="614"/>
      <c r="AA13" s="614"/>
      <c r="AB13" s="614"/>
      <c r="AC13" s="1856"/>
      <c r="AD13" s="1856"/>
      <c r="AE13" s="1857"/>
      <c r="AF13" s="614"/>
      <c r="AG13" s="1857"/>
      <c r="AH13" s="1857"/>
      <c r="AI13" s="1857"/>
      <c r="AJ13" s="1858"/>
      <c r="AK13" s="1858"/>
      <c r="AL13" s="1858"/>
      <c r="AM13" s="1858"/>
      <c r="AN13" s="1858"/>
      <c r="AO13" s="1858"/>
      <c r="AP13" s="1858"/>
      <c r="AQ13" s="1858"/>
      <c r="AR13" s="1858"/>
      <c r="AS13" s="1858"/>
      <c r="AT13" s="1858"/>
      <c r="AU13" s="1858"/>
      <c r="AV13" s="1858"/>
      <c r="AW13" s="1858"/>
      <c r="AX13" s="1858"/>
      <c r="AY13" s="1858"/>
      <c r="AZ13" s="1858"/>
      <c r="BA13" s="1858"/>
      <c r="BB13" s="1858"/>
      <c r="BC13" s="1852"/>
      <c r="BD13" s="1852"/>
      <c r="BE13" s="1852"/>
      <c r="BF13" s="1859"/>
      <c r="BG13" s="573"/>
      <c r="BH13" s="1839"/>
      <c r="BI13" s="363"/>
      <c r="BJ13" s="363"/>
      <c r="BK13" s="363"/>
      <c r="BL13" s="347"/>
      <c r="BM13" s="348"/>
      <c r="BN13" s="3493"/>
    </row>
    <row r="14" spans="1:66" s="342" customFormat="1" ht="15" customHeight="1">
      <c r="A14" s="4487" t="s">
        <v>38</v>
      </c>
      <c r="B14" s="4467"/>
      <c r="C14" s="3484" t="str">
        <f>X77&amp;","</f>
        <v>33.5 EBU,</v>
      </c>
      <c r="D14" s="4488" t="str">
        <f>"the actual BU ̸ GU ratio is "&amp;FIXED(AA77)&amp;" ("&amp;IF(AA77&gt;0.81,"Too Hoppy?",IF(AA77&gt;0.65,"Very Hoppy",IF(AA77&gt;0.55,"Slightly Hoppy",IF(AA77&gt;0.45,"Balanced",IF(AA77&gt;0.35,"Slightly Malty",IF(AA77&gt;0.25,"Very Malty",IF((AA77+0.001)&gt;0,"Too Malty?")))))))&amp;")"</f>
        <v>the actual BU ̸ GU ratio is 0.69 (Very Hoppy)</v>
      </c>
      <c r="E14" s="4467"/>
      <c r="F14" s="4467"/>
      <c r="G14" s="4467"/>
      <c r="H14" s="4489"/>
      <c r="I14" s="4484"/>
      <c r="J14" s="4490" t="s">
        <v>39</v>
      </c>
      <c r="K14" s="4101"/>
      <c r="L14" s="4491"/>
      <c r="M14" s="381">
        <f>M12/AD7</f>
        <v>14.818282938622952</v>
      </c>
      <c r="N14" s="382" t="s">
        <v>40</v>
      </c>
      <c r="O14" s="383">
        <f>O12/AD7</f>
        <v>25.505408209508598</v>
      </c>
      <c r="P14" s="384" t="s">
        <v>40</v>
      </c>
      <c r="Q14" s="381">
        <f>Q12/AD7</f>
        <v>15.933695508912027</v>
      </c>
      <c r="R14" s="385" t="s">
        <v>40</v>
      </c>
      <c r="S14" s="350"/>
      <c r="T14" s="460"/>
      <c r="U14" s="613"/>
      <c r="V14" s="613"/>
      <c r="W14" s="613"/>
      <c r="X14" s="613"/>
      <c r="Y14" s="613"/>
      <c r="Z14" s="613"/>
      <c r="AA14" s="613"/>
      <c r="AB14" s="613"/>
      <c r="AC14" s="1860"/>
      <c r="AD14" s="1860"/>
      <c r="AE14" s="1861"/>
      <c r="AF14" s="613"/>
      <c r="AG14" s="1861"/>
      <c r="AH14" s="1861"/>
      <c r="AI14" s="1861"/>
      <c r="AJ14" s="1862"/>
      <c r="AK14" s="1862"/>
      <c r="AL14" s="1862"/>
      <c r="AM14" s="1862"/>
      <c r="AN14" s="1862"/>
      <c r="AO14" s="1862"/>
      <c r="AP14" s="1862"/>
      <c r="AQ14" s="1862"/>
      <c r="AR14" s="1862"/>
      <c r="AS14" s="1862"/>
      <c r="AT14" s="1862"/>
      <c r="AU14" s="1862"/>
      <c r="AV14" s="1862"/>
      <c r="AW14" s="1862"/>
      <c r="AX14" s="1862"/>
      <c r="AY14" s="1862"/>
      <c r="AZ14" s="1862"/>
      <c r="BA14" s="1862"/>
      <c r="BB14" s="1862"/>
      <c r="BC14" s="1863"/>
      <c r="BD14" s="417"/>
      <c r="BE14" s="417"/>
      <c r="BF14" s="417"/>
      <c r="BG14" s="573"/>
      <c r="BH14" s="1839"/>
      <c r="BI14" s="363"/>
      <c r="BJ14" s="363"/>
      <c r="BK14" s="363"/>
      <c r="BL14" s="347"/>
      <c r="BM14" s="348"/>
      <c r="BN14" s="3493"/>
    </row>
    <row r="15" spans="1:66" s="342" customFormat="1" ht="15" customHeight="1">
      <c r="A15" s="4506" t="s">
        <v>43</v>
      </c>
      <c r="B15" s="4507"/>
      <c r="C15" s="2468" t="str">
        <f>FIXED(AH81,1)&amp;" EBC"</f>
        <v>270.6 EBC</v>
      </c>
      <c r="D15" s="4508" t="str">
        <f>"≈  "&amp;FIXED(0.508*AH81,1)&amp;" SRM"</f>
        <v>≈  137.5 SRM</v>
      </c>
      <c r="E15" s="4508"/>
      <c r="F15" s="4508"/>
      <c r="G15" s="4509"/>
      <c r="H15" s="909" t="s">
        <v>46</v>
      </c>
      <c r="I15" s="3400" t="s">
        <v>1936</v>
      </c>
      <c r="J15" s="4510" t="s">
        <v>47</v>
      </c>
      <c r="K15" s="4456"/>
      <c r="L15" s="4457"/>
      <c r="M15" s="389">
        <f>H10*M10/1000</f>
        <v>1.6609713159525779</v>
      </c>
      <c r="N15" s="390"/>
      <c r="O15" s="391">
        <f>H10*O10*568.26/1000</f>
        <v>2.8601926060703393</v>
      </c>
      <c r="P15" s="392"/>
      <c r="Q15" s="389">
        <f>H10*Q10*29.574/1000</f>
        <v>1.7862387526538743</v>
      </c>
      <c r="R15" s="393"/>
      <c r="S15" s="350"/>
      <c r="T15" s="401"/>
      <c r="U15" s="613"/>
      <c r="V15" s="613"/>
      <c r="W15" s="613"/>
      <c r="X15" s="613"/>
      <c r="Y15" s="613"/>
      <c r="Z15" s="613"/>
      <c r="AA15" s="613"/>
      <c r="AB15" s="576"/>
      <c r="AC15" s="577"/>
      <c r="AD15" s="577"/>
      <c r="AE15" s="578"/>
      <c r="AF15" s="576"/>
      <c r="AG15" s="578"/>
      <c r="AH15" s="578"/>
      <c r="AI15" s="578"/>
      <c r="AJ15" s="579"/>
      <c r="AK15" s="579"/>
      <c r="AL15" s="579"/>
      <c r="AM15" s="579"/>
      <c r="AN15" s="579"/>
      <c r="AO15" s="579"/>
      <c r="AP15" s="579"/>
      <c r="AQ15" s="579"/>
      <c r="AR15" s="579"/>
      <c r="AS15" s="579"/>
      <c r="AT15" s="579"/>
      <c r="AU15" s="579"/>
      <c r="AV15" s="579"/>
      <c r="AW15" s="579"/>
      <c r="AX15" s="579"/>
      <c r="AY15" s="579"/>
      <c r="AZ15" s="579"/>
      <c r="BA15" s="579"/>
      <c r="BB15" s="579"/>
      <c r="BC15" s="575"/>
      <c r="BD15" s="348"/>
      <c r="BE15" s="348"/>
      <c r="BF15" s="348"/>
      <c r="BG15" s="573"/>
      <c r="BH15" s="1839"/>
      <c r="BI15" s="363"/>
      <c r="BJ15" s="363"/>
      <c r="BK15" s="363"/>
      <c r="BL15" s="347"/>
      <c r="BM15" s="348"/>
      <c r="BN15" s="3493"/>
    </row>
    <row r="16" spans="1:66" s="342" customFormat="1" ht="3.75" customHeight="1">
      <c r="A16" s="3486"/>
      <c r="B16" s="3486"/>
      <c r="C16" s="396"/>
      <c r="D16" s="397"/>
      <c r="E16" s="397"/>
      <c r="F16" s="397"/>
      <c r="G16" s="397"/>
      <c r="H16" s="398"/>
      <c r="I16" s="3520"/>
      <c r="J16" s="3520"/>
      <c r="K16" s="3520"/>
      <c r="L16" s="3520"/>
      <c r="M16" s="3520"/>
      <c r="N16" s="3520"/>
      <c r="O16" s="3520"/>
      <c r="P16" s="399"/>
      <c r="Q16" s="400"/>
      <c r="R16" s="400"/>
      <c r="S16" s="400"/>
      <c r="T16" s="400"/>
      <c r="U16" s="399"/>
      <c r="V16" s="400"/>
      <c r="W16" s="399"/>
      <c r="X16" s="399"/>
      <c r="Y16" s="399"/>
      <c r="Z16" s="399"/>
      <c r="AA16" s="401"/>
      <c r="AB16" s="386"/>
      <c r="AC16" s="386"/>
      <c r="AD16" s="386"/>
      <c r="AE16" s="387"/>
      <c r="AF16" s="394"/>
      <c r="AG16" s="388"/>
      <c r="AH16" s="395"/>
      <c r="AI16" s="364"/>
      <c r="AJ16" s="365"/>
      <c r="AK16" s="365"/>
      <c r="AL16" s="365"/>
      <c r="AM16" s="365"/>
      <c r="AN16" s="365"/>
      <c r="AO16" s="365"/>
      <c r="AP16" s="365"/>
      <c r="AQ16" s="365"/>
      <c r="AR16" s="365"/>
      <c r="AS16" s="365"/>
      <c r="AT16" s="365"/>
      <c r="AU16" s="365"/>
      <c r="AV16" s="365"/>
      <c r="AW16" s="365"/>
      <c r="AX16" s="365"/>
      <c r="AY16" s="365"/>
      <c r="AZ16" s="365"/>
      <c r="BA16" s="365"/>
      <c r="BB16" s="365"/>
      <c r="BC16" s="348"/>
      <c r="BD16" s="348"/>
      <c r="BE16" s="348"/>
      <c r="BF16" s="348"/>
      <c r="BG16" s="348"/>
      <c r="BH16" s="348"/>
      <c r="BI16" s="348"/>
      <c r="BJ16" s="348"/>
      <c r="BK16" s="347"/>
      <c r="BL16" s="348"/>
      <c r="BM16" s="348"/>
      <c r="BN16" s="3493"/>
    </row>
    <row r="17" spans="1:66" s="342" customFormat="1" ht="15" customHeight="1">
      <c r="A17" s="3487"/>
      <c r="B17" s="358"/>
      <c r="C17" s="402"/>
      <c r="D17" s="403"/>
      <c r="E17" s="403"/>
      <c r="F17" s="403"/>
      <c r="G17" s="403"/>
      <c r="H17" s="403"/>
      <c r="I17" s="403">
        <v>0</v>
      </c>
      <c r="J17" s="3487"/>
      <c r="K17" s="363"/>
      <c r="L17" s="363"/>
      <c r="M17" s="363"/>
      <c r="N17" s="363"/>
      <c r="O17" s="363"/>
      <c r="P17" s="363"/>
      <c r="Q17" s="363"/>
      <c r="R17" s="363"/>
      <c r="S17" s="363"/>
      <c r="T17" s="363"/>
      <c r="U17" s="363"/>
      <c r="V17" s="363"/>
      <c r="W17" s="363"/>
      <c r="X17" s="363"/>
      <c r="Y17" s="363"/>
      <c r="Z17" s="363"/>
      <c r="AA17" s="4444" t="s">
        <v>52</v>
      </c>
      <c r="AB17" s="4444"/>
      <c r="AC17" s="4444"/>
      <c r="AD17" s="4444"/>
      <c r="AE17" s="4444"/>
      <c r="AF17" s="4444"/>
      <c r="AG17" s="4444"/>
      <c r="AH17" s="4444"/>
      <c r="AI17" s="4444"/>
      <c r="AJ17" s="4444"/>
      <c r="AK17" s="4444"/>
      <c r="AL17" s="4444"/>
      <c r="AM17" s="4444"/>
      <c r="AN17" s="4444"/>
      <c r="AO17" s="4444"/>
      <c r="AP17" s="4444"/>
      <c r="AQ17" s="4444"/>
      <c r="AR17" s="4444"/>
      <c r="AS17" s="4444"/>
      <c r="AT17" s="4444"/>
      <c r="AU17" s="4444"/>
      <c r="AV17" s="4444"/>
      <c r="AW17" s="4444"/>
      <c r="AX17" s="4444"/>
      <c r="AY17" s="4444"/>
      <c r="AZ17" s="4444"/>
      <c r="BA17" s="4444"/>
      <c r="BB17" s="4444"/>
      <c r="BC17" s="4444"/>
      <c r="BD17" s="4444"/>
      <c r="BE17" s="4444"/>
      <c r="BF17" s="1190">
        <v>3.15</v>
      </c>
      <c r="BG17" s="404" t="s">
        <v>40</v>
      </c>
      <c r="BH17" s="4437" t="s">
        <v>69</v>
      </c>
      <c r="BI17" s="4437"/>
      <c r="BJ17" s="4437"/>
      <c r="BK17" s="4437"/>
      <c r="BL17" s="864"/>
      <c r="BM17" s="348"/>
      <c r="BN17" s="3493"/>
    </row>
    <row r="18" spans="1:66" s="342" customFormat="1" ht="15" customHeight="1">
      <c r="A18" s="3487"/>
      <c r="B18" s="3487"/>
      <c r="C18" s="402"/>
      <c r="D18" s="403"/>
      <c r="E18" s="403"/>
      <c r="F18" s="403"/>
      <c r="G18" s="403"/>
      <c r="H18" s="403"/>
      <c r="I18" s="344"/>
      <c r="J18" s="3487"/>
      <c r="K18" s="363"/>
      <c r="L18" s="4436" t="s">
        <v>53</v>
      </c>
      <c r="M18" s="4436"/>
      <c r="N18" s="4436"/>
      <c r="O18" s="4436"/>
      <c r="P18" s="4439" t="s">
        <v>54</v>
      </c>
      <c r="Q18" s="4439"/>
      <c r="R18" s="4439"/>
      <c r="S18" s="581"/>
      <c r="T18" s="581"/>
      <c r="U18" s="581"/>
      <c r="V18" s="4452" t="s">
        <v>1725</v>
      </c>
      <c r="W18" s="4452"/>
      <c r="X18" s="4452"/>
      <c r="Y18" s="4452"/>
      <c r="Z18" s="4452"/>
      <c r="AA18" s="471"/>
      <c r="AB18" s="405"/>
      <c r="AC18" s="358"/>
      <c r="AD18" s="358"/>
      <c r="AE18" s="358"/>
      <c r="AF18" s="358"/>
      <c r="AG18" s="358"/>
      <c r="AH18" s="358"/>
      <c r="AI18" s="358"/>
      <c r="AJ18" s="358"/>
      <c r="AK18" s="365"/>
      <c r="AL18" s="365"/>
      <c r="AM18" s="365"/>
      <c r="AN18" s="365"/>
      <c r="AO18" s="365"/>
      <c r="AP18" s="365"/>
      <c r="AQ18" s="365"/>
      <c r="AR18" s="365"/>
      <c r="AS18" s="365"/>
      <c r="AT18" s="365"/>
      <c r="AU18" s="365"/>
      <c r="AV18" s="365"/>
      <c r="AW18" s="365"/>
      <c r="AX18" s="365"/>
      <c r="AY18" s="365"/>
      <c r="AZ18" s="365"/>
      <c r="BA18" s="365"/>
      <c r="BB18" s="365"/>
      <c r="BC18" s="348"/>
      <c r="BD18" s="4445" t="s">
        <v>55</v>
      </c>
      <c r="BE18" s="4446"/>
      <c r="BF18" s="4447"/>
      <c r="BG18" s="358"/>
      <c r="BH18" s="3212" t="s">
        <v>77</v>
      </c>
      <c r="BI18" s="3212" t="s">
        <v>78</v>
      </c>
      <c r="BJ18" s="3261" t="s">
        <v>79</v>
      </c>
      <c r="BK18" s="348"/>
      <c r="BL18" s="864"/>
      <c r="BM18" s="348"/>
      <c r="BN18" s="3493"/>
    </row>
    <row r="19" spans="1:66" s="342" customFormat="1" ht="15" customHeight="1">
      <c r="A19" s="3487"/>
      <c r="B19" s="358"/>
      <c r="C19" s="403"/>
      <c r="D19" s="403"/>
      <c r="E19" s="403"/>
      <c r="F19" s="403"/>
      <c r="G19" s="403"/>
      <c r="H19" s="403"/>
      <c r="I19" s="344"/>
      <c r="J19" s="3487"/>
      <c r="K19" s="363"/>
      <c r="L19" s="3262" t="s">
        <v>56</v>
      </c>
      <c r="M19" s="3263" t="s">
        <v>57</v>
      </c>
      <c r="N19" s="1843" t="s">
        <v>58</v>
      </c>
      <c r="O19" s="363"/>
      <c r="P19" s="3265" t="s">
        <v>56</v>
      </c>
      <c r="Q19" s="1864" t="s">
        <v>60</v>
      </c>
      <c r="R19" s="3498" t="s">
        <v>58</v>
      </c>
      <c r="S19" s="581"/>
      <c r="T19" s="581"/>
      <c r="U19" s="581"/>
      <c r="V19" s="4452"/>
      <c r="W19" s="4452"/>
      <c r="X19" s="4452"/>
      <c r="Y19" s="4452"/>
      <c r="Z19" s="4452"/>
      <c r="AA19" s="471"/>
      <c r="AB19" s="364"/>
      <c r="AC19" s="358"/>
      <c r="AD19" s="358"/>
      <c r="AE19" s="358"/>
      <c r="AF19" s="358"/>
      <c r="AG19" s="358"/>
      <c r="AH19" s="358"/>
      <c r="AI19" s="358"/>
      <c r="AJ19" s="358"/>
      <c r="AK19" s="365"/>
      <c r="AL19" s="365"/>
      <c r="AM19" s="365"/>
      <c r="AN19" s="365"/>
      <c r="AO19" s="365"/>
      <c r="AP19" s="365"/>
      <c r="AQ19" s="365"/>
      <c r="AR19" s="365"/>
      <c r="AS19" s="365"/>
      <c r="AT19" s="365"/>
      <c r="AU19" s="365"/>
      <c r="AV19" s="365"/>
      <c r="AW19" s="365"/>
      <c r="AX19" s="365"/>
      <c r="AY19" s="365"/>
      <c r="AZ19" s="365"/>
      <c r="BA19" s="365"/>
      <c r="BB19" s="365"/>
      <c r="BC19" s="348"/>
      <c r="BD19" s="317" t="s">
        <v>61</v>
      </c>
      <c r="BE19" s="317" t="s">
        <v>62</v>
      </c>
      <c r="BF19" s="16" t="s">
        <v>63</v>
      </c>
      <c r="BG19" s="348"/>
      <c r="BH19" s="3255">
        <v>1</v>
      </c>
      <c r="BI19" s="3257">
        <f t="shared" ref="BI19:BI25" si="0">BH19*6/5</f>
        <v>1.2</v>
      </c>
      <c r="BJ19" s="23">
        <f t="shared" ref="BJ19:BJ24" si="1">3.7854*BI19/8</f>
        <v>0.56781000000000004</v>
      </c>
      <c r="BK19" s="348"/>
      <c r="BL19" s="864"/>
      <c r="BM19" s="348"/>
      <c r="BN19" s="3493"/>
    </row>
    <row r="20" spans="1:66" s="342" customFormat="1" ht="15.75" customHeight="1">
      <c r="A20" s="4512" t="s">
        <v>1749</v>
      </c>
      <c r="B20" s="4512"/>
      <c r="C20" s="4512"/>
      <c r="D20" s="4512"/>
      <c r="E20" s="4512"/>
      <c r="F20" s="4512"/>
      <c r="G20" s="4512"/>
      <c r="H20" s="4512"/>
      <c r="I20" s="4512"/>
      <c r="J20" s="480"/>
      <c r="K20" s="471"/>
      <c r="L20" s="3264">
        <f>M20*300*C5/(C122*100)</f>
        <v>1088.7096774193549</v>
      </c>
      <c r="M20" s="2953">
        <v>1500</v>
      </c>
      <c r="N20" s="2860">
        <f>M20*300*C5/(C131*100)</f>
        <v>924.65753424657532</v>
      </c>
      <c r="O20" s="471"/>
      <c r="P20" s="3264">
        <f>Q20*$C$131/$C$122</f>
        <v>1177.4193548387098</v>
      </c>
      <c r="Q20" s="1888">
        <v>1000</v>
      </c>
      <c r="R20" s="3499">
        <f>Q20*$C$122/$C$131</f>
        <v>849.31506849315065</v>
      </c>
      <c r="S20" s="363"/>
      <c r="T20" s="363"/>
      <c r="U20" s="363"/>
      <c r="V20" s="4452"/>
      <c r="W20" s="4452"/>
      <c r="X20" s="4452"/>
      <c r="Y20" s="4452"/>
      <c r="Z20" s="4452"/>
      <c r="AA20" s="471"/>
      <c r="AB20" s="4517" t="s">
        <v>64</v>
      </c>
      <c r="AC20" s="4517"/>
      <c r="AD20" s="4517"/>
      <c r="AE20" s="4517"/>
      <c r="AF20" s="4517"/>
      <c r="AG20" s="4517"/>
      <c r="AH20" s="4517"/>
      <c r="AI20" s="4517"/>
      <c r="AJ20" s="4517"/>
      <c r="AK20" s="4517"/>
      <c r="AL20" s="4517"/>
      <c r="AM20" s="4517"/>
      <c r="AN20" s="4517"/>
      <c r="AO20" s="4517"/>
      <c r="AP20" s="4517"/>
      <c r="AQ20" s="4517"/>
      <c r="AR20" s="4517"/>
      <c r="AS20" s="4517"/>
      <c r="AT20" s="4517"/>
      <c r="AU20" s="4517"/>
      <c r="AV20" s="4517"/>
      <c r="AW20" s="4517"/>
      <c r="AX20" s="4517"/>
      <c r="AY20" s="4517"/>
      <c r="AZ20" s="4517"/>
      <c r="BA20" s="4517"/>
      <c r="BB20" s="4517"/>
      <c r="BC20" s="343"/>
      <c r="BD20" s="317">
        <f>BE20*BF17</f>
        <v>3.15</v>
      </c>
      <c r="BE20" s="17">
        <v>1</v>
      </c>
      <c r="BF20" s="18">
        <f>BE20/BF17</f>
        <v>0.31746031746031744</v>
      </c>
      <c r="BG20" s="348"/>
      <c r="BH20" s="3255">
        <v>2</v>
      </c>
      <c r="BI20" s="3257">
        <f t="shared" si="0"/>
        <v>2.4</v>
      </c>
      <c r="BJ20" s="23">
        <f t="shared" si="1"/>
        <v>1.1356200000000001</v>
      </c>
      <c r="BK20" s="348"/>
      <c r="BL20" s="864"/>
      <c r="BM20" s="348"/>
      <c r="BN20" s="3493"/>
    </row>
    <row r="21" spans="1:66" s="342" customFormat="1" ht="15" customHeight="1">
      <c r="A21" s="358"/>
      <c r="B21" s="468"/>
      <c r="C21" s="468"/>
      <c r="D21" s="468"/>
      <c r="E21" s="468"/>
      <c r="F21" s="468"/>
      <c r="G21" s="468"/>
      <c r="H21" s="468"/>
      <c r="I21" s="468"/>
      <c r="J21" s="468"/>
      <c r="K21" s="468"/>
      <c r="L21" s="4438" t="s">
        <v>59</v>
      </c>
      <c r="M21" s="4438"/>
      <c r="N21" s="4438"/>
      <c r="O21" s="1841"/>
      <c r="P21" s="4511" t="s">
        <v>1828</v>
      </c>
      <c r="Q21" s="4511"/>
      <c r="R21" s="4511"/>
      <c r="S21" s="363"/>
      <c r="T21" s="363"/>
      <c r="U21" s="3543"/>
      <c r="V21" s="3543"/>
      <c r="W21" s="3543"/>
      <c r="X21" s="3543"/>
      <c r="Y21" s="3543"/>
      <c r="Z21" s="3543"/>
      <c r="AA21" s="471"/>
      <c r="AB21" s="3497"/>
      <c r="AC21" s="3497"/>
      <c r="AD21" s="3497"/>
      <c r="AE21" s="3497"/>
      <c r="AF21" s="3497"/>
      <c r="AG21" s="3497"/>
      <c r="AH21" s="3497"/>
      <c r="AI21" s="3497"/>
      <c r="AJ21" s="3497"/>
      <c r="AK21" s="3497"/>
      <c r="AL21" s="3497"/>
      <c r="AM21" s="3497"/>
      <c r="AN21" s="3497"/>
      <c r="AO21" s="3497"/>
      <c r="AP21" s="3497"/>
      <c r="AQ21" s="3497"/>
      <c r="AR21" s="3497"/>
      <c r="AS21" s="3497"/>
      <c r="AT21" s="3497"/>
      <c r="AU21" s="3497"/>
      <c r="AV21" s="3497"/>
      <c r="AW21" s="3497"/>
      <c r="AX21" s="3497"/>
      <c r="AY21" s="3497"/>
      <c r="AZ21" s="3497"/>
      <c r="BA21" s="3497"/>
      <c r="BB21" s="3497"/>
      <c r="BC21" s="348"/>
      <c r="BD21" s="348"/>
      <c r="BE21" s="348"/>
      <c r="BF21" s="348"/>
      <c r="BG21" s="348"/>
      <c r="BH21" s="3255">
        <v>3</v>
      </c>
      <c r="BI21" s="3257">
        <f t="shared" si="0"/>
        <v>3.6</v>
      </c>
      <c r="BJ21" s="23">
        <f t="shared" si="1"/>
        <v>1.70343</v>
      </c>
      <c r="BK21" s="348"/>
      <c r="BL21" s="864"/>
      <c r="BM21" s="348"/>
      <c r="BN21" s="3493"/>
    </row>
    <row r="22" spans="1:66" s="342" customFormat="1" ht="15" customHeight="1">
      <c r="A22" s="4513" t="s">
        <v>66</v>
      </c>
      <c r="B22" s="4446"/>
      <c r="C22" s="4446"/>
      <c r="D22" s="4446"/>
      <c r="E22" s="4446"/>
      <c r="F22" s="4446"/>
      <c r="G22" s="4434"/>
      <c r="H22" s="3008"/>
      <c r="I22" s="3009"/>
      <c r="J22" s="4514" t="s">
        <v>67</v>
      </c>
      <c r="K22" s="4117"/>
      <c r="L22" s="4117"/>
      <c r="M22" s="4117"/>
      <c r="N22" s="4117"/>
      <c r="O22" s="4117"/>
      <c r="P22" s="4117"/>
      <c r="Q22" s="4117"/>
      <c r="R22" s="4117"/>
      <c r="S22" s="4117"/>
      <c r="T22" s="4117"/>
      <c r="U22" s="4515"/>
      <c r="V22" s="4516" t="s">
        <v>68</v>
      </c>
      <c r="W22" s="4117"/>
      <c r="X22" s="4117"/>
      <c r="Y22" s="4117"/>
      <c r="Z22" s="4117"/>
      <c r="AA22" s="4515"/>
      <c r="AB22" s="387"/>
      <c r="AC22" s="387"/>
      <c r="AD22" s="387"/>
      <c r="AE22" s="387"/>
      <c r="AF22" s="387"/>
      <c r="AG22" s="387"/>
      <c r="AH22" s="387"/>
      <c r="AI22" s="387"/>
      <c r="AJ22" s="395"/>
      <c r="AK22" s="388"/>
      <c r="AL22" s="388"/>
      <c r="AM22" s="388"/>
      <c r="AN22" s="388"/>
      <c r="AO22" s="388"/>
      <c r="AP22" s="388"/>
      <c r="AQ22" s="388"/>
      <c r="AR22" s="388"/>
      <c r="AS22" s="388"/>
      <c r="AT22" s="388"/>
      <c r="AU22" s="388"/>
      <c r="AV22" s="388"/>
      <c r="AW22" s="388"/>
      <c r="AX22" s="413"/>
      <c r="AY22" s="413"/>
      <c r="AZ22" s="413"/>
      <c r="BA22" s="413"/>
      <c r="BB22" s="413"/>
      <c r="BC22" s="348"/>
      <c r="BD22" s="348"/>
      <c r="BE22" s="348"/>
      <c r="BF22" s="348"/>
      <c r="BG22" s="348"/>
      <c r="BH22" s="3255">
        <v>4</v>
      </c>
      <c r="BI22" s="3257">
        <f t="shared" si="0"/>
        <v>4.8</v>
      </c>
      <c r="BJ22" s="29">
        <f t="shared" si="1"/>
        <v>2.2712400000000001</v>
      </c>
      <c r="BK22" s="348"/>
      <c r="BL22" s="348"/>
      <c r="BM22" s="348"/>
      <c r="BN22" s="3493"/>
    </row>
    <row r="23" spans="1:66" s="342" customFormat="1" ht="15" customHeight="1">
      <c r="A23" s="4518" t="s">
        <v>70</v>
      </c>
      <c r="B23" s="19" t="s">
        <v>71</v>
      </c>
      <c r="C23" s="4521" t="s">
        <v>72</v>
      </c>
      <c r="D23" s="4523" t="s">
        <v>73</v>
      </c>
      <c r="E23" s="3848"/>
      <c r="F23" s="4525" t="s">
        <v>74</v>
      </c>
      <c r="G23" s="4527" t="s">
        <v>75</v>
      </c>
      <c r="H23" s="3010"/>
      <c r="I23" s="3011"/>
      <c r="J23" s="4529" t="s">
        <v>755</v>
      </c>
      <c r="K23" s="4530"/>
      <c r="L23" s="4530"/>
      <c r="M23" s="4530"/>
      <c r="N23" s="4530"/>
      <c r="O23" s="4530"/>
      <c r="P23" s="4530"/>
      <c r="Q23" s="4530"/>
      <c r="R23" s="4530"/>
      <c r="S23" s="4530"/>
      <c r="T23" s="4530"/>
      <c r="U23" s="4174"/>
      <c r="V23" s="4531" t="s">
        <v>754</v>
      </c>
      <c r="W23" s="4530"/>
      <c r="X23" s="4530"/>
      <c r="Y23" s="4530"/>
      <c r="Z23" s="4530"/>
      <c r="AA23" s="4174"/>
      <c r="AB23" s="386" t="s">
        <v>41</v>
      </c>
      <c r="AC23" s="386" t="s">
        <v>42</v>
      </c>
      <c r="AD23" s="386" t="s">
        <v>43</v>
      </c>
      <c r="AE23" s="387"/>
      <c r="AF23" s="13" t="s">
        <v>44</v>
      </c>
      <c r="AG23" s="388" t="s">
        <v>45</v>
      </c>
      <c r="AH23" s="386" t="s">
        <v>43</v>
      </c>
      <c r="AI23" s="358"/>
      <c r="AJ23" s="395"/>
      <c r="AK23" s="413"/>
      <c r="AL23" s="413"/>
      <c r="AM23" s="413"/>
      <c r="AN23" s="413"/>
      <c r="AO23" s="413"/>
      <c r="AP23" s="413"/>
      <c r="AQ23" s="413"/>
      <c r="AR23" s="413"/>
      <c r="AS23" s="413"/>
      <c r="AT23" s="413"/>
      <c r="AU23" s="413"/>
      <c r="AV23" s="413"/>
      <c r="AW23" s="413"/>
      <c r="AX23" s="358"/>
      <c r="AY23" s="358"/>
      <c r="AZ23" s="358"/>
      <c r="BA23" s="358"/>
      <c r="BB23" s="358"/>
      <c r="BC23" s="348"/>
      <c r="BD23" s="348"/>
      <c r="BE23" s="348"/>
      <c r="BF23" s="348"/>
      <c r="BG23" s="348"/>
      <c r="BH23" s="3255">
        <v>5</v>
      </c>
      <c r="BI23" s="3257">
        <f t="shared" si="0"/>
        <v>6</v>
      </c>
      <c r="BJ23" s="29">
        <f t="shared" si="1"/>
        <v>2.8390500000000003</v>
      </c>
      <c r="BK23" s="348"/>
      <c r="BL23" s="348"/>
      <c r="BM23" s="348"/>
      <c r="BN23" s="3493"/>
    </row>
    <row r="24" spans="1:66" s="342" customFormat="1" ht="15" customHeight="1">
      <c r="A24" s="4519"/>
      <c r="B24" s="20" t="s">
        <v>80</v>
      </c>
      <c r="C24" s="4522"/>
      <c r="D24" s="4524"/>
      <c r="E24" s="3849"/>
      <c r="F24" s="4526"/>
      <c r="G24" s="4528"/>
      <c r="H24" s="3010"/>
      <c r="I24" s="3011"/>
      <c r="J24" s="4534" t="s">
        <v>81</v>
      </c>
      <c r="K24" s="4456"/>
      <c r="L24" s="4456"/>
      <c r="M24" s="4456"/>
      <c r="N24" s="4456"/>
      <c r="O24" s="4533"/>
      <c r="P24" s="4535" t="s">
        <v>82</v>
      </c>
      <c r="Q24" s="4456"/>
      <c r="R24" s="4456"/>
      <c r="S24" s="4456"/>
      <c r="T24" s="4456"/>
      <c r="U24" s="4533"/>
      <c r="V24" s="4532"/>
      <c r="W24" s="4456"/>
      <c r="X24" s="4456"/>
      <c r="Y24" s="4456"/>
      <c r="Z24" s="4456"/>
      <c r="AA24" s="4533"/>
      <c r="AB24" s="386" t="s">
        <v>48</v>
      </c>
      <c r="AC24" s="386" t="s">
        <v>49</v>
      </c>
      <c r="AD24" s="386" t="s">
        <v>50</v>
      </c>
      <c r="AE24" s="387"/>
      <c r="AF24" s="394"/>
      <c r="AG24" s="388" t="s">
        <v>51</v>
      </c>
      <c r="AH24" s="395"/>
      <c r="AI24" s="358"/>
      <c r="AJ24" s="395"/>
      <c r="AK24" s="388"/>
      <c r="AL24" s="386"/>
      <c r="AM24" s="386"/>
      <c r="AN24" s="386"/>
      <c r="AO24" s="386"/>
      <c r="AP24" s="386"/>
      <c r="AQ24" s="21"/>
      <c r="AR24" s="386"/>
      <c r="AS24" s="386"/>
      <c r="AT24" s="386"/>
      <c r="AU24" s="386"/>
      <c r="AV24" s="22"/>
      <c r="AW24" s="4448" t="s">
        <v>83</v>
      </c>
      <c r="AX24" s="4101"/>
      <c r="AY24" s="4101"/>
      <c r="AZ24" s="4101"/>
      <c r="BA24" s="4101"/>
      <c r="BB24" s="4101"/>
      <c r="BC24" s="348"/>
      <c r="BD24" s="348"/>
      <c r="BE24" s="348"/>
      <c r="BF24" s="348"/>
      <c r="BG24" s="348"/>
      <c r="BH24" s="3255">
        <v>25</v>
      </c>
      <c r="BI24" s="3257">
        <f t="shared" si="0"/>
        <v>30</v>
      </c>
      <c r="BJ24" s="29">
        <f t="shared" si="1"/>
        <v>14.19525</v>
      </c>
      <c r="BK24" s="348"/>
      <c r="BL24" s="348"/>
      <c r="BM24" s="348"/>
      <c r="BN24" s="3493"/>
    </row>
    <row r="25" spans="1:66" s="342" customFormat="1" ht="15" customHeight="1">
      <c r="A25" s="4519"/>
      <c r="B25" s="2737" t="str">
        <f t="shared" ref="B25:B31" si="2">B122</f>
        <v>Extra Light</v>
      </c>
      <c r="C25" s="2150"/>
      <c r="D25" s="24" t="s">
        <v>40</v>
      </c>
      <c r="E25" s="3850"/>
      <c r="F25" s="2142">
        <f t="shared" ref="F25:F31" si="3">100*IF(C25=0,0,C25/$F$83)</f>
        <v>0</v>
      </c>
      <c r="G25" s="3005">
        <f t="shared" ref="G25:G31" si="4">IF(AF25=0,0,AF25*100/$AF$82)</f>
        <v>0</v>
      </c>
      <c r="H25" s="3012" t="s">
        <v>84</v>
      </c>
      <c r="I25" s="2983" t="s">
        <v>85</v>
      </c>
      <c r="J25" s="3013" t="s">
        <v>86</v>
      </c>
      <c r="K25" s="3014" t="s">
        <v>87</v>
      </c>
      <c r="L25" s="3014" t="s">
        <v>88</v>
      </c>
      <c r="M25" s="3014" t="s">
        <v>89</v>
      </c>
      <c r="N25" s="3014" t="s">
        <v>94</v>
      </c>
      <c r="O25" s="3015" t="s">
        <v>332</v>
      </c>
      <c r="P25" s="3016" t="s">
        <v>86</v>
      </c>
      <c r="Q25" s="3014" t="s">
        <v>87</v>
      </c>
      <c r="R25" s="3014" t="s">
        <v>88</v>
      </c>
      <c r="S25" s="3014" t="s">
        <v>89</v>
      </c>
      <c r="T25" s="3014" t="s">
        <v>94</v>
      </c>
      <c r="U25" s="3015" t="s">
        <v>332</v>
      </c>
      <c r="V25" s="3017" t="s">
        <v>86</v>
      </c>
      <c r="W25" s="3014" t="s">
        <v>87</v>
      </c>
      <c r="X25" s="3014" t="s">
        <v>88</v>
      </c>
      <c r="Y25" s="3014" t="s">
        <v>89</v>
      </c>
      <c r="Z25" s="3014" t="s">
        <v>94</v>
      </c>
      <c r="AA25" s="3018" t="s">
        <v>332</v>
      </c>
      <c r="AB25" s="414">
        <f t="shared" ref="AB25" si="5">C122</f>
        <v>310</v>
      </c>
      <c r="AC25" s="25">
        <f t="shared" ref="AC25" si="6">C$87/100</f>
        <v>0.75</v>
      </c>
      <c r="AD25" s="388">
        <f t="shared" ref="AD25:AD31" si="7">D122</f>
        <v>5.5</v>
      </c>
      <c r="AE25" s="387"/>
      <c r="AF25" s="394">
        <f t="shared" ref="AF25" si="8">0.001*C25*AB25</f>
        <v>0</v>
      </c>
      <c r="AG25" s="388">
        <f t="shared" ref="AG25" si="9">AF25*AC25</f>
        <v>0</v>
      </c>
      <c r="AH25" s="388">
        <f t="shared" ref="AH25" si="10">0.01*C25*AD25</f>
        <v>0</v>
      </c>
      <c r="AI25" s="358"/>
      <c r="AJ25" s="395"/>
      <c r="AK25" s="4449" t="s">
        <v>90</v>
      </c>
      <c r="AL25" s="4101"/>
      <c r="AM25" s="4101"/>
      <c r="AN25" s="4101"/>
      <c r="AO25" s="4101"/>
      <c r="AP25" s="4174"/>
      <c r="AQ25" s="4450" t="s">
        <v>91</v>
      </c>
      <c r="AR25" s="4101"/>
      <c r="AS25" s="4101"/>
      <c r="AT25" s="4101"/>
      <c r="AU25" s="4101"/>
      <c r="AV25" s="4174"/>
      <c r="AW25" s="4451" t="s">
        <v>92</v>
      </c>
      <c r="AX25" s="4101"/>
      <c r="AY25" s="4101"/>
      <c r="AZ25" s="4101"/>
      <c r="BA25" s="4101"/>
      <c r="BB25" s="4101"/>
      <c r="BC25" s="348"/>
      <c r="BD25" s="348"/>
      <c r="BE25" s="348"/>
      <c r="BF25" s="348"/>
      <c r="BG25" s="348"/>
      <c r="BH25" s="3255">
        <v>26</v>
      </c>
      <c r="BI25" s="3257">
        <f t="shared" si="0"/>
        <v>31.2</v>
      </c>
      <c r="BJ25" s="29">
        <f>3.7854*BI25/8</f>
        <v>14.763059999999999</v>
      </c>
      <c r="BK25" s="348"/>
      <c r="BL25" s="348"/>
      <c r="BM25" s="348"/>
      <c r="BN25" s="3493"/>
    </row>
    <row r="26" spans="1:66" s="342" customFormat="1" ht="15" customHeight="1">
      <c r="A26" s="4519"/>
      <c r="B26" s="2738" t="str">
        <f t="shared" si="2"/>
        <v>Light</v>
      </c>
      <c r="C26" s="2151"/>
      <c r="D26" s="24" t="s">
        <v>40</v>
      </c>
      <c r="E26" s="3845"/>
      <c r="F26" s="2143">
        <f t="shared" si="3"/>
        <v>0</v>
      </c>
      <c r="G26" s="2143">
        <f t="shared" si="4"/>
        <v>0</v>
      </c>
      <c r="H26" s="986"/>
      <c r="I26" s="2345" t="s">
        <v>93</v>
      </c>
      <c r="J26" s="1126" t="s">
        <v>76</v>
      </c>
      <c r="K26" s="1127" t="s">
        <v>76</v>
      </c>
      <c r="L26" s="1127" t="s">
        <v>76</v>
      </c>
      <c r="M26" s="1127" t="s">
        <v>76</v>
      </c>
      <c r="N26" s="1127" t="s">
        <v>76</v>
      </c>
      <c r="O26" s="1128" t="s">
        <v>76</v>
      </c>
      <c r="P26" s="1129" t="s">
        <v>76</v>
      </c>
      <c r="Q26" s="1127" t="s">
        <v>76</v>
      </c>
      <c r="R26" s="1127" t="s">
        <v>76</v>
      </c>
      <c r="S26" s="1127" t="s">
        <v>76</v>
      </c>
      <c r="T26" s="1127" t="s">
        <v>76</v>
      </c>
      <c r="U26" s="1128" t="s">
        <v>76</v>
      </c>
      <c r="V26" s="1130" t="s">
        <v>76</v>
      </c>
      <c r="W26" s="1127" t="s">
        <v>76</v>
      </c>
      <c r="X26" s="1127" t="s">
        <v>76</v>
      </c>
      <c r="Y26" s="1127" t="s">
        <v>76</v>
      </c>
      <c r="Z26" s="1127" t="s">
        <v>76</v>
      </c>
      <c r="AA26" s="1838" t="s">
        <v>76</v>
      </c>
      <c r="AB26" s="414">
        <f t="shared" ref="AB26:AB31" si="11">C123</f>
        <v>310</v>
      </c>
      <c r="AC26" s="25">
        <f t="shared" ref="AC26:AC31" si="12">C$87/100</f>
        <v>0.75</v>
      </c>
      <c r="AD26" s="388">
        <f t="shared" si="7"/>
        <v>10</v>
      </c>
      <c r="AE26" s="387"/>
      <c r="AF26" s="394">
        <f t="shared" ref="AF26:AF31" si="13">0.001*C26*AB26</f>
        <v>0</v>
      </c>
      <c r="AG26" s="388">
        <f t="shared" ref="AG26:AG31" si="14">AF26*AC26</f>
        <v>0</v>
      </c>
      <c r="AH26" s="388">
        <f t="shared" ref="AH26:AH31" si="15">0.01*C26*AD26</f>
        <v>0</v>
      </c>
      <c r="AI26" s="358"/>
      <c r="AJ26" s="395"/>
      <c r="AK26" s="26" t="s">
        <v>86</v>
      </c>
      <c r="AL26" s="26" t="s">
        <v>87</v>
      </c>
      <c r="AM26" s="26" t="s">
        <v>88</v>
      </c>
      <c r="AN26" s="26" t="s">
        <v>89</v>
      </c>
      <c r="AO26" s="26" t="s">
        <v>94</v>
      </c>
      <c r="AP26" s="26" t="s">
        <v>305</v>
      </c>
      <c r="AQ26" s="27" t="s">
        <v>86</v>
      </c>
      <c r="AR26" s="297" t="s">
        <v>87</v>
      </c>
      <c r="AS26" s="299" t="s">
        <v>88</v>
      </c>
      <c r="AT26" s="300" t="s">
        <v>89</v>
      </c>
      <c r="AU26" s="297" t="s">
        <v>94</v>
      </c>
      <c r="AV26" s="26" t="s">
        <v>305</v>
      </c>
      <c r="AW26" s="27" t="s">
        <v>86</v>
      </c>
      <c r="AX26" s="27" t="s">
        <v>87</v>
      </c>
      <c r="AY26" s="27" t="s">
        <v>88</v>
      </c>
      <c r="AZ26" s="27" t="s">
        <v>89</v>
      </c>
      <c r="BA26" s="27" t="s">
        <v>94</v>
      </c>
      <c r="BB26" s="26" t="s">
        <v>305</v>
      </c>
      <c r="BC26" s="348"/>
      <c r="BD26" s="348"/>
      <c r="BE26" s="348"/>
      <c r="BF26" s="348"/>
      <c r="BG26" s="348"/>
      <c r="BH26" s="358"/>
      <c r="BI26" s="358"/>
      <c r="BJ26" s="358"/>
      <c r="BK26" s="348"/>
      <c r="BL26" s="348"/>
      <c r="BM26" s="348"/>
      <c r="BN26" s="3493"/>
    </row>
    <row r="27" spans="1:66" s="342" customFormat="1" ht="15" customHeight="1">
      <c r="A27" s="4519"/>
      <c r="B27" s="2738" t="str">
        <f t="shared" si="2"/>
        <v>Amber</v>
      </c>
      <c r="C27" s="2151"/>
      <c r="D27" s="24" t="s">
        <v>40</v>
      </c>
      <c r="E27" s="3845"/>
      <c r="F27" s="2143">
        <f t="shared" si="3"/>
        <v>0</v>
      </c>
      <c r="G27" s="2143">
        <f t="shared" si="4"/>
        <v>0</v>
      </c>
      <c r="H27" s="3019" t="s">
        <v>95</v>
      </c>
      <c r="I27" s="2346">
        <v>11</v>
      </c>
      <c r="J27" s="2114"/>
      <c r="K27" s="2115"/>
      <c r="L27" s="2116"/>
      <c r="M27" s="2116"/>
      <c r="N27" s="2115"/>
      <c r="O27" s="2117"/>
      <c r="P27" s="2118">
        <f t="shared" ref="P27:U49" si="16">J27</f>
        <v>0</v>
      </c>
      <c r="Q27" s="2119">
        <f t="shared" si="16"/>
        <v>0</v>
      </c>
      <c r="R27" s="2119">
        <f t="shared" si="16"/>
        <v>0</v>
      </c>
      <c r="S27" s="2119">
        <f t="shared" si="16"/>
        <v>0</v>
      </c>
      <c r="T27" s="2119">
        <f t="shared" si="16"/>
        <v>0</v>
      </c>
      <c r="U27" s="2120">
        <f t="shared" si="16"/>
        <v>0</v>
      </c>
      <c r="V27" s="2121"/>
      <c r="W27" s="2122"/>
      <c r="X27" s="2116"/>
      <c r="Y27" s="2116"/>
      <c r="Z27" s="2123"/>
      <c r="AA27" s="2124"/>
      <c r="AB27" s="414">
        <f t="shared" si="11"/>
        <v>310</v>
      </c>
      <c r="AC27" s="25">
        <f t="shared" si="12"/>
        <v>0.75</v>
      </c>
      <c r="AD27" s="388">
        <f t="shared" si="7"/>
        <v>18</v>
      </c>
      <c r="AE27" s="387"/>
      <c r="AF27" s="394">
        <f t="shared" si="13"/>
        <v>0</v>
      </c>
      <c r="AG27" s="388">
        <f t="shared" si="14"/>
        <v>0</v>
      </c>
      <c r="AH27" s="388">
        <f t="shared" si="15"/>
        <v>0</v>
      </c>
      <c r="AI27" s="358"/>
      <c r="AJ27" s="395"/>
      <c r="AK27" s="388">
        <f t="shared" ref="AK27:AU42" si="17">$I27*J27</f>
        <v>0</v>
      </c>
      <c r="AL27" s="388">
        <f t="shared" si="17"/>
        <v>0</v>
      </c>
      <c r="AM27" s="388">
        <f t="shared" si="17"/>
        <v>0</v>
      </c>
      <c r="AN27" s="388">
        <f t="shared" si="17"/>
        <v>0</v>
      </c>
      <c r="AO27" s="388">
        <f t="shared" si="17"/>
        <v>0</v>
      </c>
      <c r="AP27" s="388">
        <f t="shared" si="17"/>
        <v>0</v>
      </c>
      <c r="AQ27" s="28">
        <f>$I27*P27</f>
        <v>0</v>
      </c>
      <c r="AR27" s="298">
        <f>$I27*Q27</f>
        <v>0</v>
      </c>
      <c r="AS27" s="301">
        <f>$I27*R27</f>
        <v>0</v>
      </c>
      <c r="AT27" s="302">
        <f>$I27*S27</f>
        <v>0</v>
      </c>
      <c r="AU27" s="298">
        <f>$I27*T27</f>
        <v>0</v>
      </c>
      <c r="AV27" s="421">
        <f t="shared" ref="AV27:BA42" si="18">$I27*U27</f>
        <v>0</v>
      </c>
      <c r="AW27" s="28">
        <f>$I27*V27</f>
        <v>0</v>
      </c>
      <c r="AX27" s="388">
        <f>$I27*W27</f>
        <v>0</v>
      </c>
      <c r="AY27" s="388">
        <f>$I27*X27</f>
        <v>0</v>
      </c>
      <c r="AZ27" s="388">
        <f>$I27*Y27</f>
        <v>0</v>
      </c>
      <c r="BA27" s="388">
        <f>$I27*Z27</f>
        <v>0</v>
      </c>
      <c r="BB27" s="388">
        <f t="shared" ref="BB27:BB63" si="19">$I27*AA27</f>
        <v>0</v>
      </c>
      <c r="BC27" s="4431" t="str">
        <f>H27</f>
        <v>Admiral</v>
      </c>
      <c r="BD27" s="4431"/>
      <c r="BE27" s="4431"/>
      <c r="BF27" s="4432"/>
      <c r="BG27" s="348"/>
      <c r="BH27" s="3212" t="s">
        <v>78</v>
      </c>
      <c r="BI27" s="3212" t="s">
        <v>77</v>
      </c>
      <c r="BJ27" s="316" t="s">
        <v>79</v>
      </c>
      <c r="BK27" s="348"/>
      <c r="BL27" s="348"/>
      <c r="BM27" s="348"/>
      <c r="BN27" s="3493"/>
    </row>
    <row r="28" spans="1:66" s="342" customFormat="1" ht="15" customHeight="1">
      <c r="A28" s="4519"/>
      <c r="B28" s="2738" t="str">
        <f t="shared" si="2"/>
        <v>Dark</v>
      </c>
      <c r="C28" s="2151"/>
      <c r="D28" s="24" t="s">
        <v>40</v>
      </c>
      <c r="E28" s="3845"/>
      <c r="F28" s="2143">
        <f t="shared" si="3"/>
        <v>0</v>
      </c>
      <c r="G28" s="2143">
        <f t="shared" si="4"/>
        <v>0</v>
      </c>
      <c r="H28" s="3020" t="s">
        <v>96</v>
      </c>
      <c r="I28" s="2347">
        <v>4.0999999999999996</v>
      </c>
      <c r="J28" s="3021"/>
      <c r="K28" s="2116"/>
      <c r="L28" s="2116"/>
      <c r="M28" s="2116"/>
      <c r="N28" s="2116"/>
      <c r="O28" s="2117"/>
      <c r="P28" s="3022">
        <f t="shared" si="16"/>
        <v>0</v>
      </c>
      <c r="Q28" s="2125">
        <f t="shared" si="16"/>
        <v>0</v>
      </c>
      <c r="R28" s="2125">
        <f t="shared" si="16"/>
        <v>0</v>
      </c>
      <c r="S28" s="2125">
        <f t="shared" si="16"/>
        <v>0</v>
      </c>
      <c r="T28" s="2125">
        <f t="shared" si="16"/>
        <v>0</v>
      </c>
      <c r="U28" s="2126">
        <f t="shared" si="16"/>
        <v>0</v>
      </c>
      <c r="V28" s="3023"/>
      <c r="W28" s="2127"/>
      <c r="X28" s="2116"/>
      <c r="Y28" s="2116"/>
      <c r="Z28" s="2116"/>
      <c r="AA28" s="2117"/>
      <c r="AB28" s="414">
        <f t="shared" si="11"/>
        <v>310</v>
      </c>
      <c r="AC28" s="25">
        <f t="shared" si="12"/>
        <v>0.75</v>
      </c>
      <c r="AD28" s="388">
        <f t="shared" si="7"/>
        <v>55</v>
      </c>
      <c r="AE28" s="387"/>
      <c r="AF28" s="394">
        <f t="shared" si="13"/>
        <v>0</v>
      </c>
      <c r="AG28" s="388">
        <f t="shared" si="14"/>
        <v>0</v>
      </c>
      <c r="AH28" s="388">
        <f t="shared" si="15"/>
        <v>0</v>
      </c>
      <c r="AI28" s="358"/>
      <c r="AJ28" s="395"/>
      <c r="AK28" s="388">
        <f t="shared" si="17"/>
        <v>0</v>
      </c>
      <c r="AL28" s="388">
        <f t="shared" si="17"/>
        <v>0</v>
      </c>
      <c r="AM28" s="388">
        <f t="shared" si="17"/>
        <v>0</v>
      </c>
      <c r="AN28" s="388">
        <f t="shared" si="17"/>
        <v>0</v>
      </c>
      <c r="AO28" s="388">
        <f t="shared" si="17"/>
        <v>0</v>
      </c>
      <c r="AP28" s="388">
        <f t="shared" si="17"/>
        <v>0</v>
      </c>
      <c r="AQ28" s="28">
        <f t="shared" si="17"/>
        <v>0</v>
      </c>
      <c r="AR28" s="298">
        <f t="shared" si="17"/>
        <v>0</v>
      </c>
      <c r="AS28" s="301">
        <f t="shared" si="17"/>
        <v>0</v>
      </c>
      <c r="AT28" s="302">
        <f t="shared" si="17"/>
        <v>0</v>
      </c>
      <c r="AU28" s="298">
        <f t="shared" si="17"/>
        <v>0</v>
      </c>
      <c r="AV28" s="421">
        <f t="shared" si="18"/>
        <v>0</v>
      </c>
      <c r="AW28" s="28">
        <f t="shared" si="18"/>
        <v>0</v>
      </c>
      <c r="AX28" s="388">
        <f t="shared" si="18"/>
        <v>0</v>
      </c>
      <c r="AY28" s="388">
        <f t="shared" si="18"/>
        <v>0</v>
      </c>
      <c r="AZ28" s="388">
        <f t="shared" si="18"/>
        <v>0</v>
      </c>
      <c r="BA28" s="388">
        <f t="shared" si="18"/>
        <v>0</v>
      </c>
      <c r="BB28" s="388">
        <f t="shared" si="19"/>
        <v>0</v>
      </c>
      <c r="BC28" s="4431" t="str">
        <f t="shared" ref="BC28:BC60" si="20">H28</f>
        <v xml:space="preserve">Ahtanum </v>
      </c>
      <c r="BD28" s="4431"/>
      <c r="BE28" s="4431"/>
      <c r="BF28" s="4432"/>
      <c r="BG28" s="348"/>
      <c r="BH28" s="3248">
        <v>1</v>
      </c>
      <c r="BI28" s="1665">
        <f t="shared" ref="BI28:BI34" si="21">BH28*(5/6)</f>
        <v>0.83333333333333337</v>
      </c>
      <c r="BJ28" s="29">
        <f t="shared" ref="BJ28:BJ33" si="22">3.7854*BH28/8</f>
        <v>0.47317500000000001</v>
      </c>
      <c r="BK28" s="348"/>
      <c r="BL28" s="348"/>
      <c r="BM28" s="348"/>
      <c r="BN28" s="3493"/>
    </row>
    <row r="29" spans="1:66" s="342" customFormat="1" ht="15" customHeight="1">
      <c r="A29" s="4519"/>
      <c r="B29" s="2738" t="str">
        <f t="shared" si="2"/>
        <v>Extra dark</v>
      </c>
      <c r="C29" s="2151"/>
      <c r="D29" s="24" t="s">
        <v>40</v>
      </c>
      <c r="E29" s="3845"/>
      <c r="F29" s="2143">
        <f t="shared" si="3"/>
        <v>0</v>
      </c>
      <c r="G29" s="2143">
        <f t="shared" si="4"/>
        <v>0</v>
      </c>
      <c r="H29" s="3024" t="s">
        <v>97</v>
      </c>
      <c r="I29" s="2347">
        <v>9.5</v>
      </c>
      <c r="J29" s="3021"/>
      <c r="K29" s="2116"/>
      <c r="L29" s="2116"/>
      <c r="M29" s="2116"/>
      <c r="N29" s="2116"/>
      <c r="O29" s="2117"/>
      <c r="P29" s="3022">
        <f t="shared" si="16"/>
        <v>0</v>
      </c>
      <c r="Q29" s="2125">
        <f t="shared" si="16"/>
        <v>0</v>
      </c>
      <c r="R29" s="2125">
        <f t="shared" si="16"/>
        <v>0</v>
      </c>
      <c r="S29" s="2125">
        <f t="shared" si="16"/>
        <v>0</v>
      </c>
      <c r="T29" s="2125">
        <f t="shared" si="16"/>
        <v>0</v>
      </c>
      <c r="U29" s="2126">
        <f t="shared" si="16"/>
        <v>0</v>
      </c>
      <c r="V29" s="3023"/>
      <c r="W29" s="2127"/>
      <c r="X29" s="2116"/>
      <c r="Y29" s="2116"/>
      <c r="Z29" s="2116"/>
      <c r="AA29" s="2117"/>
      <c r="AB29" s="414">
        <f t="shared" si="11"/>
        <v>310</v>
      </c>
      <c r="AC29" s="25">
        <f t="shared" si="12"/>
        <v>0.75</v>
      </c>
      <c r="AD29" s="388">
        <f t="shared" si="7"/>
        <v>95</v>
      </c>
      <c r="AE29" s="387"/>
      <c r="AF29" s="394">
        <f t="shared" si="13"/>
        <v>0</v>
      </c>
      <c r="AG29" s="388">
        <f t="shared" si="14"/>
        <v>0</v>
      </c>
      <c r="AH29" s="388">
        <f t="shared" si="15"/>
        <v>0</v>
      </c>
      <c r="AI29" s="358"/>
      <c r="AJ29" s="395"/>
      <c r="AK29" s="388">
        <f t="shared" si="17"/>
        <v>0</v>
      </c>
      <c r="AL29" s="388">
        <f t="shared" si="17"/>
        <v>0</v>
      </c>
      <c r="AM29" s="388">
        <f t="shared" si="17"/>
        <v>0</v>
      </c>
      <c r="AN29" s="388">
        <f t="shared" si="17"/>
        <v>0</v>
      </c>
      <c r="AO29" s="388">
        <f t="shared" si="17"/>
        <v>0</v>
      </c>
      <c r="AP29" s="388">
        <f t="shared" si="17"/>
        <v>0</v>
      </c>
      <c r="AQ29" s="28">
        <f t="shared" si="17"/>
        <v>0</v>
      </c>
      <c r="AR29" s="298">
        <f t="shared" si="17"/>
        <v>0</v>
      </c>
      <c r="AS29" s="301">
        <f t="shared" si="17"/>
        <v>0</v>
      </c>
      <c r="AT29" s="302">
        <f t="shared" si="17"/>
        <v>0</v>
      </c>
      <c r="AU29" s="298">
        <f t="shared" si="17"/>
        <v>0</v>
      </c>
      <c r="AV29" s="421">
        <f t="shared" si="18"/>
        <v>0</v>
      </c>
      <c r="AW29" s="28">
        <f t="shared" si="18"/>
        <v>0</v>
      </c>
      <c r="AX29" s="388">
        <f t="shared" si="18"/>
        <v>0</v>
      </c>
      <c r="AY29" s="388">
        <f t="shared" si="18"/>
        <v>0</v>
      </c>
      <c r="AZ29" s="388">
        <f t="shared" si="18"/>
        <v>0</v>
      </c>
      <c r="BA29" s="388">
        <f t="shared" si="18"/>
        <v>0</v>
      </c>
      <c r="BB29" s="388">
        <f t="shared" si="19"/>
        <v>0</v>
      </c>
      <c r="BC29" s="4431" t="str">
        <f t="shared" si="20"/>
        <v>Boadicea</v>
      </c>
      <c r="BD29" s="4431"/>
      <c r="BE29" s="4431"/>
      <c r="BF29" s="4432"/>
      <c r="BG29" s="348"/>
      <c r="BH29" s="3248">
        <v>2</v>
      </c>
      <c r="BI29" s="3257">
        <f t="shared" si="21"/>
        <v>1.6666666666666667</v>
      </c>
      <c r="BJ29" s="29">
        <f t="shared" si="22"/>
        <v>0.94635000000000002</v>
      </c>
      <c r="BK29" s="348"/>
      <c r="BL29" s="348"/>
      <c r="BM29" s="348"/>
      <c r="BN29" s="3493"/>
    </row>
    <row r="30" spans="1:66" s="342" customFormat="1" ht="15" customHeight="1">
      <c r="A30" s="4519"/>
      <c r="B30" s="2738" t="str">
        <f t="shared" si="2"/>
        <v>Wheat (55%)</v>
      </c>
      <c r="C30" s="2152"/>
      <c r="D30" s="24" t="s">
        <v>40</v>
      </c>
      <c r="E30" s="3845"/>
      <c r="F30" s="2143">
        <f t="shared" si="3"/>
        <v>0</v>
      </c>
      <c r="G30" s="2143">
        <f t="shared" si="4"/>
        <v>0</v>
      </c>
      <c r="H30" s="3024" t="s">
        <v>98</v>
      </c>
      <c r="I30" s="2347">
        <v>5.0999999999999996</v>
      </c>
      <c r="J30" s="3021"/>
      <c r="K30" s="2116"/>
      <c r="L30" s="2116"/>
      <c r="M30" s="2116"/>
      <c r="N30" s="2116"/>
      <c r="O30" s="2117"/>
      <c r="P30" s="3022">
        <f t="shared" si="16"/>
        <v>0</v>
      </c>
      <c r="Q30" s="2125">
        <f t="shared" si="16"/>
        <v>0</v>
      </c>
      <c r="R30" s="2125">
        <f t="shared" si="16"/>
        <v>0</v>
      </c>
      <c r="S30" s="2125">
        <f t="shared" si="16"/>
        <v>0</v>
      </c>
      <c r="T30" s="2125">
        <f t="shared" si="16"/>
        <v>0</v>
      </c>
      <c r="U30" s="2126">
        <f t="shared" si="16"/>
        <v>0</v>
      </c>
      <c r="V30" s="3023"/>
      <c r="W30" s="2127"/>
      <c r="X30" s="2116"/>
      <c r="Y30" s="2116"/>
      <c r="Z30" s="2116"/>
      <c r="AA30" s="2117"/>
      <c r="AB30" s="414">
        <f t="shared" si="11"/>
        <v>310</v>
      </c>
      <c r="AC30" s="25">
        <f t="shared" si="12"/>
        <v>0.75</v>
      </c>
      <c r="AD30" s="388">
        <f t="shared" si="7"/>
        <v>9</v>
      </c>
      <c r="AE30" s="387"/>
      <c r="AF30" s="394">
        <f t="shared" si="13"/>
        <v>0</v>
      </c>
      <c r="AG30" s="388">
        <f t="shared" si="14"/>
        <v>0</v>
      </c>
      <c r="AH30" s="388">
        <f t="shared" si="15"/>
        <v>0</v>
      </c>
      <c r="AI30" s="358"/>
      <c r="AJ30" s="395"/>
      <c r="AK30" s="388">
        <f t="shared" si="17"/>
        <v>0</v>
      </c>
      <c r="AL30" s="388">
        <f t="shared" si="17"/>
        <v>0</v>
      </c>
      <c r="AM30" s="388">
        <f t="shared" si="17"/>
        <v>0</v>
      </c>
      <c r="AN30" s="388">
        <f t="shared" si="17"/>
        <v>0</v>
      </c>
      <c r="AO30" s="388">
        <f t="shared" si="17"/>
        <v>0</v>
      </c>
      <c r="AP30" s="388">
        <f t="shared" si="17"/>
        <v>0</v>
      </c>
      <c r="AQ30" s="28">
        <f t="shared" si="17"/>
        <v>0</v>
      </c>
      <c r="AR30" s="298">
        <f t="shared" si="17"/>
        <v>0</v>
      </c>
      <c r="AS30" s="301">
        <f t="shared" si="17"/>
        <v>0</v>
      </c>
      <c r="AT30" s="302">
        <f t="shared" si="17"/>
        <v>0</v>
      </c>
      <c r="AU30" s="298">
        <f t="shared" si="17"/>
        <v>0</v>
      </c>
      <c r="AV30" s="421">
        <f t="shared" si="18"/>
        <v>0</v>
      </c>
      <c r="AW30" s="28">
        <f t="shared" si="18"/>
        <v>0</v>
      </c>
      <c r="AX30" s="388">
        <f t="shared" si="18"/>
        <v>0</v>
      </c>
      <c r="AY30" s="388">
        <f t="shared" si="18"/>
        <v>0</v>
      </c>
      <c r="AZ30" s="388">
        <f t="shared" si="18"/>
        <v>0</v>
      </c>
      <c r="BA30" s="388">
        <f t="shared" si="18"/>
        <v>0</v>
      </c>
      <c r="BB30" s="388">
        <f t="shared" si="19"/>
        <v>0</v>
      </c>
      <c r="BC30" s="4431" t="str">
        <f t="shared" si="20"/>
        <v>Bramling Cross</v>
      </c>
      <c r="BD30" s="4431"/>
      <c r="BE30" s="4431"/>
      <c r="BF30" s="4432"/>
      <c r="BG30" s="348"/>
      <c r="BH30" s="3248">
        <v>3</v>
      </c>
      <c r="BI30" s="3257">
        <f t="shared" si="21"/>
        <v>2.5</v>
      </c>
      <c r="BJ30" s="29">
        <f t="shared" si="22"/>
        <v>1.4195250000000001</v>
      </c>
      <c r="BK30" s="348"/>
      <c r="BL30" s="348"/>
      <c r="BM30" s="348"/>
      <c r="BN30" s="3493"/>
    </row>
    <row r="31" spans="1:66" s="342" customFormat="1" ht="15" customHeight="1">
      <c r="A31" s="4519"/>
      <c r="B31" s="2739" t="str">
        <f t="shared" si="2"/>
        <v>OTHER</v>
      </c>
      <c r="C31" s="2151"/>
      <c r="D31" s="30" t="s">
        <v>40</v>
      </c>
      <c r="E31" s="3845"/>
      <c r="F31" s="2145">
        <f t="shared" si="3"/>
        <v>0</v>
      </c>
      <c r="G31" s="2145">
        <f t="shared" si="4"/>
        <v>0</v>
      </c>
      <c r="H31" s="3024" t="s">
        <v>99</v>
      </c>
      <c r="I31" s="2347">
        <v>5.5</v>
      </c>
      <c r="J31" s="3025"/>
      <c r="K31" s="2116"/>
      <c r="L31" s="2116"/>
      <c r="M31" s="2116"/>
      <c r="N31" s="2116"/>
      <c r="O31" s="2117"/>
      <c r="P31" s="3022">
        <f t="shared" si="16"/>
        <v>0</v>
      </c>
      <c r="Q31" s="2125">
        <f t="shared" si="16"/>
        <v>0</v>
      </c>
      <c r="R31" s="2125">
        <f t="shared" si="16"/>
        <v>0</v>
      </c>
      <c r="S31" s="2125">
        <f t="shared" si="16"/>
        <v>0</v>
      </c>
      <c r="T31" s="2125">
        <f t="shared" si="16"/>
        <v>0</v>
      </c>
      <c r="U31" s="2126">
        <f t="shared" si="16"/>
        <v>0</v>
      </c>
      <c r="V31" s="3023"/>
      <c r="W31" s="2116"/>
      <c r="X31" s="2116"/>
      <c r="Y31" s="2116"/>
      <c r="Z31" s="2116"/>
      <c r="AA31" s="2117"/>
      <c r="AB31" s="414">
        <f t="shared" si="11"/>
        <v>0</v>
      </c>
      <c r="AC31" s="25">
        <f t="shared" si="12"/>
        <v>0.75</v>
      </c>
      <c r="AD31" s="388">
        <f t="shared" si="7"/>
        <v>0</v>
      </c>
      <c r="AE31" s="387"/>
      <c r="AF31" s="394">
        <f t="shared" si="13"/>
        <v>0</v>
      </c>
      <c r="AG31" s="388">
        <f t="shared" si="14"/>
        <v>0</v>
      </c>
      <c r="AH31" s="388">
        <f t="shared" si="15"/>
        <v>0</v>
      </c>
      <c r="AI31" s="358"/>
      <c r="AJ31" s="395"/>
      <c r="AK31" s="388">
        <f t="shared" si="17"/>
        <v>0</v>
      </c>
      <c r="AL31" s="388">
        <f t="shared" si="17"/>
        <v>0</v>
      </c>
      <c r="AM31" s="388">
        <f t="shared" si="17"/>
        <v>0</v>
      </c>
      <c r="AN31" s="388">
        <f t="shared" si="17"/>
        <v>0</v>
      </c>
      <c r="AO31" s="388">
        <f t="shared" si="17"/>
        <v>0</v>
      </c>
      <c r="AP31" s="388">
        <f t="shared" si="17"/>
        <v>0</v>
      </c>
      <c r="AQ31" s="28">
        <f t="shared" si="17"/>
        <v>0</v>
      </c>
      <c r="AR31" s="298">
        <f t="shared" si="17"/>
        <v>0</v>
      </c>
      <c r="AS31" s="301">
        <f t="shared" si="17"/>
        <v>0</v>
      </c>
      <c r="AT31" s="302">
        <f t="shared" si="17"/>
        <v>0</v>
      </c>
      <c r="AU31" s="298">
        <f t="shared" si="17"/>
        <v>0</v>
      </c>
      <c r="AV31" s="421">
        <f t="shared" si="18"/>
        <v>0</v>
      </c>
      <c r="AW31" s="28">
        <f t="shared" si="18"/>
        <v>0</v>
      </c>
      <c r="AX31" s="388">
        <f t="shared" si="18"/>
        <v>0</v>
      </c>
      <c r="AY31" s="388">
        <f t="shared" si="18"/>
        <v>0</v>
      </c>
      <c r="AZ31" s="388">
        <f t="shared" si="18"/>
        <v>0</v>
      </c>
      <c r="BA31" s="388">
        <f t="shared" si="18"/>
        <v>0</v>
      </c>
      <c r="BB31" s="388">
        <f t="shared" si="19"/>
        <v>0</v>
      </c>
      <c r="BC31" s="4431" t="str">
        <f t="shared" si="20"/>
        <v>Brewers Gold</v>
      </c>
      <c r="BD31" s="4431"/>
      <c r="BE31" s="4431"/>
      <c r="BF31" s="4432"/>
      <c r="BG31" s="348"/>
      <c r="BH31" s="3248">
        <v>4</v>
      </c>
      <c r="BI31" s="3257">
        <f t="shared" si="21"/>
        <v>3.3333333333333335</v>
      </c>
      <c r="BJ31" s="29">
        <f t="shared" si="22"/>
        <v>1.8927</v>
      </c>
      <c r="BK31" s="348"/>
      <c r="BL31" s="348"/>
      <c r="BM31" s="348"/>
      <c r="BN31" s="3493"/>
    </row>
    <row r="32" spans="1:66" s="342" customFormat="1" ht="15" customHeight="1">
      <c r="A32" s="4519"/>
      <c r="B32" s="31" t="s">
        <v>100</v>
      </c>
      <c r="C32" s="2153"/>
      <c r="D32" s="32"/>
      <c r="E32" s="3851"/>
      <c r="F32" s="2146"/>
      <c r="G32" s="3006" t="s">
        <v>101</v>
      </c>
      <c r="H32" s="3026" t="s">
        <v>102</v>
      </c>
      <c r="I32" s="2348">
        <v>10</v>
      </c>
      <c r="J32" s="3025"/>
      <c r="K32" s="2116"/>
      <c r="L32" s="2116"/>
      <c r="M32" s="2116"/>
      <c r="N32" s="2116"/>
      <c r="O32" s="2117"/>
      <c r="P32" s="3022">
        <f t="shared" si="16"/>
        <v>0</v>
      </c>
      <c r="Q32" s="2125">
        <f t="shared" si="16"/>
        <v>0</v>
      </c>
      <c r="R32" s="2125">
        <f t="shared" si="16"/>
        <v>0</v>
      </c>
      <c r="S32" s="2125">
        <f t="shared" si="16"/>
        <v>0</v>
      </c>
      <c r="T32" s="2125">
        <f t="shared" si="16"/>
        <v>0</v>
      </c>
      <c r="U32" s="2126">
        <f t="shared" si="16"/>
        <v>0</v>
      </c>
      <c r="V32" s="3023"/>
      <c r="W32" s="2116"/>
      <c r="X32" s="2116"/>
      <c r="Y32" s="2116"/>
      <c r="Z32" s="2116"/>
      <c r="AA32" s="2117"/>
      <c r="AB32" s="386"/>
      <c r="AC32" s="386"/>
      <c r="AD32" s="386"/>
      <c r="AE32" s="358"/>
      <c r="AF32" s="13" t="s">
        <v>44</v>
      </c>
      <c r="AG32" s="33"/>
      <c r="AH32" s="33"/>
      <c r="AI32" s="388"/>
      <c r="AJ32" s="395"/>
      <c r="AK32" s="388">
        <f t="shared" si="17"/>
        <v>0</v>
      </c>
      <c r="AL32" s="388">
        <f t="shared" si="17"/>
        <v>0</v>
      </c>
      <c r="AM32" s="388">
        <f t="shared" si="17"/>
        <v>0</v>
      </c>
      <c r="AN32" s="388">
        <f t="shared" si="17"/>
        <v>0</v>
      </c>
      <c r="AO32" s="388">
        <f t="shared" si="17"/>
        <v>0</v>
      </c>
      <c r="AP32" s="388">
        <f t="shared" si="17"/>
        <v>0</v>
      </c>
      <c r="AQ32" s="28">
        <f t="shared" si="17"/>
        <v>0</v>
      </c>
      <c r="AR32" s="298">
        <f t="shared" si="17"/>
        <v>0</v>
      </c>
      <c r="AS32" s="301">
        <f t="shared" si="17"/>
        <v>0</v>
      </c>
      <c r="AT32" s="302">
        <f t="shared" si="17"/>
        <v>0</v>
      </c>
      <c r="AU32" s="298">
        <f t="shared" si="17"/>
        <v>0</v>
      </c>
      <c r="AV32" s="421">
        <f t="shared" si="18"/>
        <v>0</v>
      </c>
      <c r="AW32" s="28">
        <f t="shared" si="18"/>
        <v>0</v>
      </c>
      <c r="AX32" s="388">
        <f t="shared" si="18"/>
        <v>0</v>
      </c>
      <c r="AY32" s="388">
        <f t="shared" si="18"/>
        <v>0</v>
      </c>
      <c r="AZ32" s="388">
        <f t="shared" si="18"/>
        <v>0</v>
      </c>
      <c r="BA32" s="388">
        <f t="shared" si="18"/>
        <v>0</v>
      </c>
      <c r="BB32" s="388">
        <f t="shared" si="19"/>
        <v>0</v>
      </c>
      <c r="BC32" s="4431" t="str">
        <f t="shared" si="20"/>
        <v>Bullion</v>
      </c>
      <c r="BD32" s="4431"/>
      <c r="BE32" s="4431"/>
      <c r="BF32" s="4432"/>
      <c r="BG32" s="348"/>
      <c r="BH32" s="3248">
        <v>5</v>
      </c>
      <c r="BI32" s="3257">
        <f t="shared" si="21"/>
        <v>4.166666666666667</v>
      </c>
      <c r="BJ32" s="29">
        <f t="shared" si="22"/>
        <v>2.365875</v>
      </c>
      <c r="BK32" s="348"/>
      <c r="BL32" s="348"/>
      <c r="BM32" s="348"/>
      <c r="BN32" s="3493"/>
    </row>
    <row r="33" spans="1:66" s="342" customFormat="1" ht="15" customHeight="1">
      <c r="A33" s="4519"/>
      <c r="B33" s="34" t="s">
        <v>80</v>
      </c>
      <c r="C33" s="2154" t="s">
        <v>72</v>
      </c>
      <c r="D33" s="1674" t="s">
        <v>73</v>
      </c>
      <c r="E33" s="3849"/>
      <c r="F33" s="2147" t="s">
        <v>74</v>
      </c>
      <c r="G33" s="3007" t="s">
        <v>103</v>
      </c>
      <c r="H33" s="3024" t="s">
        <v>104</v>
      </c>
      <c r="I33" s="2347">
        <v>7.5</v>
      </c>
      <c r="J33" s="3025"/>
      <c r="K33" s="2116"/>
      <c r="L33" s="2116"/>
      <c r="M33" s="2116"/>
      <c r="N33" s="2116"/>
      <c r="O33" s="2117"/>
      <c r="P33" s="3022">
        <f t="shared" si="16"/>
        <v>0</v>
      </c>
      <c r="Q33" s="2125">
        <f t="shared" si="16"/>
        <v>0</v>
      </c>
      <c r="R33" s="2125">
        <f t="shared" si="16"/>
        <v>0</v>
      </c>
      <c r="S33" s="2125">
        <f t="shared" si="16"/>
        <v>0</v>
      </c>
      <c r="T33" s="2125">
        <f t="shared" si="16"/>
        <v>0</v>
      </c>
      <c r="U33" s="2126">
        <f t="shared" si="16"/>
        <v>0</v>
      </c>
      <c r="V33" s="3023"/>
      <c r="W33" s="2116"/>
      <c r="X33" s="2116"/>
      <c r="Y33" s="2116"/>
      <c r="Z33" s="2116"/>
      <c r="AA33" s="2117"/>
      <c r="AB33" s="12"/>
      <c r="AC33" s="12"/>
      <c r="AD33" s="12"/>
      <c r="AE33" s="358"/>
      <c r="AF33" s="388"/>
      <c r="AG33" s="35"/>
      <c r="AH33" s="35"/>
      <c r="AI33" s="33"/>
      <c r="AJ33" s="395"/>
      <c r="AK33" s="388">
        <f t="shared" si="17"/>
        <v>0</v>
      </c>
      <c r="AL33" s="388">
        <f t="shared" si="17"/>
        <v>0</v>
      </c>
      <c r="AM33" s="388">
        <f t="shared" si="17"/>
        <v>0</v>
      </c>
      <c r="AN33" s="388">
        <f t="shared" si="17"/>
        <v>0</v>
      </c>
      <c r="AO33" s="388">
        <f t="shared" si="17"/>
        <v>0</v>
      </c>
      <c r="AP33" s="388">
        <f t="shared" si="17"/>
        <v>0</v>
      </c>
      <c r="AQ33" s="28">
        <f t="shared" si="17"/>
        <v>0</v>
      </c>
      <c r="AR33" s="298">
        <f t="shared" si="17"/>
        <v>0</v>
      </c>
      <c r="AS33" s="301">
        <f t="shared" si="17"/>
        <v>0</v>
      </c>
      <c r="AT33" s="302">
        <f t="shared" si="17"/>
        <v>0</v>
      </c>
      <c r="AU33" s="298">
        <f t="shared" si="17"/>
        <v>0</v>
      </c>
      <c r="AV33" s="421">
        <f t="shared" si="18"/>
        <v>0</v>
      </c>
      <c r="AW33" s="28">
        <f t="shared" si="18"/>
        <v>0</v>
      </c>
      <c r="AX33" s="388">
        <f t="shared" si="18"/>
        <v>0</v>
      </c>
      <c r="AY33" s="388">
        <f t="shared" si="18"/>
        <v>0</v>
      </c>
      <c r="AZ33" s="388">
        <f t="shared" si="18"/>
        <v>0</v>
      </c>
      <c r="BA33" s="388">
        <f t="shared" si="18"/>
        <v>0</v>
      </c>
      <c r="BB33" s="388">
        <f t="shared" si="19"/>
        <v>0</v>
      </c>
      <c r="BC33" s="4431" t="str">
        <f t="shared" si="20"/>
        <v>Challenger</v>
      </c>
      <c r="BD33" s="4431"/>
      <c r="BE33" s="4431"/>
      <c r="BF33" s="4432"/>
      <c r="BG33" s="348"/>
      <c r="BH33" s="3255">
        <v>25</v>
      </c>
      <c r="BI33" s="3257">
        <f t="shared" si="21"/>
        <v>20.833333333333336</v>
      </c>
      <c r="BJ33" s="29">
        <f t="shared" si="22"/>
        <v>11.829375000000001</v>
      </c>
      <c r="BK33" s="348"/>
      <c r="BL33" s="348"/>
      <c r="BM33" s="348"/>
      <c r="BN33" s="3493"/>
    </row>
    <row r="34" spans="1:66" s="342" customFormat="1" ht="15" customHeight="1">
      <c r="A34" s="4519"/>
      <c r="B34" s="2740" t="str">
        <f t="shared" ref="B34:B39" si="23">B131</f>
        <v>Extra Light</v>
      </c>
      <c r="C34" s="2150">
        <v>1580</v>
      </c>
      <c r="D34" s="36" t="s">
        <v>40</v>
      </c>
      <c r="E34" s="3850"/>
      <c r="F34" s="2143">
        <f t="shared" ref="F34:F39" si="24">100*IF(C34=0,0,C34/$F$83)</f>
        <v>71.789629124779921</v>
      </c>
      <c r="G34" s="2143">
        <f t="shared" ref="G34:G39" si="25">IF(AF34=0,0,AF34*100/$AF$82)</f>
        <v>78.786507451981578</v>
      </c>
      <c r="H34" s="3024" t="s">
        <v>105</v>
      </c>
      <c r="I34" s="2347">
        <v>6.9</v>
      </c>
      <c r="J34" s="3025"/>
      <c r="K34" s="2116"/>
      <c r="L34" s="2116"/>
      <c r="M34" s="2116"/>
      <c r="N34" s="2116"/>
      <c r="O34" s="2117"/>
      <c r="P34" s="3022">
        <f t="shared" si="16"/>
        <v>0</v>
      </c>
      <c r="Q34" s="2125">
        <f t="shared" si="16"/>
        <v>0</v>
      </c>
      <c r="R34" s="2125">
        <f t="shared" si="16"/>
        <v>0</v>
      </c>
      <c r="S34" s="2125">
        <f t="shared" si="16"/>
        <v>0</v>
      </c>
      <c r="T34" s="2125">
        <f t="shared" si="16"/>
        <v>0</v>
      </c>
      <c r="U34" s="2126">
        <f t="shared" si="16"/>
        <v>0</v>
      </c>
      <c r="V34" s="3023"/>
      <c r="W34" s="2116"/>
      <c r="X34" s="2116"/>
      <c r="Y34" s="2116"/>
      <c r="Z34" s="2116"/>
      <c r="AA34" s="2117"/>
      <c r="AB34" s="414">
        <f t="shared" ref="AB34" si="26">C131</f>
        <v>365</v>
      </c>
      <c r="AC34" s="25">
        <f t="shared" ref="AC34" si="27">C$87/100</f>
        <v>0.75</v>
      </c>
      <c r="AD34" s="388">
        <f t="shared" ref="AD34" si="28">D131</f>
        <v>5.5</v>
      </c>
      <c r="AE34" s="358"/>
      <c r="AF34" s="394">
        <f t="shared" ref="AF34" si="29">0.001*C34*AB34</f>
        <v>576.70000000000005</v>
      </c>
      <c r="AG34" s="388">
        <f t="shared" ref="AG34" si="30">AF34*AC34</f>
        <v>432.52500000000003</v>
      </c>
      <c r="AH34" s="388">
        <f t="shared" ref="AH34" si="31">0.01*C34*AD34</f>
        <v>86.9</v>
      </c>
      <c r="AI34" s="413"/>
      <c r="AJ34" s="395"/>
      <c r="AK34" s="388">
        <f t="shared" si="17"/>
        <v>0</v>
      </c>
      <c r="AL34" s="388">
        <f t="shared" si="17"/>
        <v>0</v>
      </c>
      <c r="AM34" s="388">
        <f t="shared" si="17"/>
        <v>0</v>
      </c>
      <c r="AN34" s="388">
        <f t="shared" si="17"/>
        <v>0</v>
      </c>
      <c r="AO34" s="388">
        <f t="shared" si="17"/>
        <v>0</v>
      </c>
      <c r="AP34" s="388">
        <f t="shared" si="17"/>
        <v>0</v>
      </c>
      <c r="AQ34" s="28">
        <f t="shared" si="17"/>
        <v>0</v>
      </c>
      <c r="AR34" s="298">
        <f t="shared" si="17"/>
        <v>0</v>
      </c>
      <c r="AS34" s="301">
        <f t="shared" si="17"/>
        <v>0</v>
      </c>
      <c r="AT34" s="302">
        <f t="shared" si="17"/>
        <v>0</v>
      </c>
      <c r="AU34" s="298">
        <f t="shared" si="17"/>
        <v>0</v>
      </c>
      <c r="AV34" s="421">
        <f t="shared" si="18"/>
        <v>0</v>
      </c>
      <c r="AW34" s="28">
        <f t="shared" si="18"/>
        <v>0</v>
      </c>
      <c r="AX34" s="388">
        <f t="shared" si="18"/>
        <v>0</v>
      </c>
      <c r="AY34" s="388">
        <f t="shared" si="18"/>
        <v>0</v>
      </c>
      <c r="AZ34" s="388">
        <f t="shared" si="18"/>
        <v>0</v>
      </c>
      <c r="BA34" s="388">
        <f t="shared" si="18"/>
        <v>0</v>
      </c>
      <c r="BB34" s="388">
        <f t="shared" si="19"/>
        <v>0</v>
      </c>
      <c r="BC34" s="4431" t="str">
        <f t="shared" si="20"/>
        <v>Cluster</v>
      </c>
      <c r="BD34" s="4431"/>
      <c r="BE34" s="4431"/>
      <c r="BF34" s="4432"/>
      <c r="BG34" s="348"/>
      <c r="BH34" s="3255">
        <v>26</v>
      </c>
      <c r="BI34" s="3257">
        <f t="shared" si="21"/>
        <v>21.666666666666668</v>
      </c>
      <c r="BJ34" s="29">
        <f>3.7854*BH34/8</f>
        <v>12.30255</v>
      </c>
      <c r="BK34" s="348"/>
      <c r="BL34" s="348"/>
      <c r="BM34" s="348"/>
      <c r="BN34" s="3493"/>
    </row>
    <row r="35" spans="1:66" s="342" customFormat="1" ht="15" customHeight="1">
      <c r="A35" s="4519"/>
      <c r="B35" s="2740" t="str">
        <f t="shared" si="23"/>
        <v>Light</v>
      </c>
      <c r="C35" s="2150"/>
      <c r="D35" s="36" t="s">
        <v>40</v>
      </c>
      <c r="E35" s="3845"/>
      <c r="F35" s="2143">
        <f t="shared" si="24"/>
        <v>0</v>
      </c>
      <c r="G35" s="2143">
        <f t="shared" si="25"/>
        <v>0</v>
      </c>
      <c r="H35" s="3024" t="s">
        <v>106</v>
      </c>
      <c r="I35" s="2347">
        <v>5.5</v>
      </c>
      <c r="J35" s="3025"/>
      <c r="K35" s="2116"/>
      <c r="L35" s="2116"/>
      <c r="M35" s="2116"/>
      <c r="N35" s="2116"/>
      <c r="O35" s="2117"/>
      <c r="P35" s="3022">
        <f t="shared" si="16"/>
        <v>0</v>
      </c>
      <c r="Q35" s="2125">
        <f t="shared" si="16"/>
        <v>0</v>
      </c>
      <c r="R35" s="2125">
        <f t="shared" si="16"/>
        <v>0</v>
      </c>
      <c r="S35" s="2125">
        <f t="shared" si="16"/>
        <v>0</v>
      </c>
      <c r="T35" s="2125">
        <f t="shared" si="16"/>
        <v>0</v>
      </c>
      <c r="U35" s="2126">
        <f t="shared" si="16"/>
        <v>0</v>
      </c>
      <c r="V35" s="3023"/>
      <c r="W35" s="2116"/>
      <c r="X35" s="2116"/>
      <c r="Y35" s="2116"/>
      <c r="Z35" s="2116"/>
      <c r="AA35" s="2117"/>
      <c r="AB35" s="414">
        <f t="shared" ref="AB35:AB39" si="32">C132</f>
        <v>365</v>
      </c>
      <c r="AC35" s="25">
        <f t="shared" ref="AC35:AC39" si="33">C$87/100</f>
        <v>0.75</v>
      </c>
      <c r="AD35" s="388">
        <f t="shared" ref="AD35:AD39" si="34">D132</f>
        <v>10</v>
      </c>
      <c r="AE35" s="358"/>
      <c r="AF35" s="394">
        <f t="shared" ref="AF35:AF39" si="35">0.001*C35*AB35</f>
        <v>0</v>
      </c>
      <c r="AG35" s="388">
        <f t="shared" ref="AG35:AG39" si="36">AF35*AC35</f>
        <v>0</v>
      </c>
      <c r="AH35" s="388">
        <f t="shared" ref="AH35:AH39" si="37">0.01*C35*AD35</f>
        <v>0</v>
      </c>
      <c r="AI35" s="388"/>
      <c r="AJ35" s="395"/>
      <c r="AK35" s="388">
        <f t="shared" si="17"/>
        <v>0</v>
      </c>
      <c r="AL35" s="388">
        <f t="shared" si="17"/>
        <v>0</v>
      </c>
      <c r="AM35" s="388">
        <f t="shared" si="17"/>
        <v>0</v>
      </c>
      <c r="AN35" s="388">
        <f t="shared" si="17"/>
        <v>0</v>
      </c>
      <c r="AO35" s="388">
        <f t="shared" si="17"/>
        <v>0</v>
      </c>
      <c r="AP35" s="388">
        <f t="shared" si="17"/>
        <v>0</v>
      </c>
      <c r="AQ35" s="28">
        <f t="shared" si="17"/>
        <v>0</v>
      </c>
      <c r="AR35" s="298">
        <f t="shared" si="17"/>
        <v>0</v>
      </c>
      <c r="AS35" s="301">
        <f t="shared" si="17"/>
        <v>0</v>
      </c>
      <c r="AT35" s="302">
        <f t="shared" si="17"/>
        <v>0</v>
      </c>
      <c r="AU35" s="298">
        <f t="shared" si="17"/>
        <v>0</v>
      </c>
      <c r="AV35" s="421">
        <f t="shared" si="18"/>
        <v>0</v>
      </c>
      <c r="AW35" s="28">
        <f t="shared" si="18"/>
        <v>0</v>
      </c>
      <c r="AX35" s="388">
        <f t="shared" si="18"/>
        <v>0</v>
      </c>
      <c r="AY35" s="388">
        <f t="shared" si="18"/>
        <v>0</v>
      </c>
      <c r="AZ35" s="388">
        <f t="shared" si="18"/>
        <v>0</v>
      </c>
      <c r="BA35" s="388">
        <f t="shared" si="18"/>
        <v>0</v>
      </c>
      <c r="BB35" s="388">
        <f t="shared" si="19"/>
        <v>0</v>
      </c>
      <c r="BC35" s="4431" t="str">
        <f t="shared" si="20"/>
        <v>EKG</v>
      </c>
      <c r="BD35" s="4431"/>
      <c r="BE35" s="4431"/>
      <c r="BF35" s="4432"/>
      <c r="BG35" s="348"/>
      <c r="BH35" s="358"/>
      <c r="BI35" s="358"/>
      <c r="BJ35" s="358"/>
      <c r="BK35" s="348"/>
      <c r="BL35" s="348"/>
      <c r="BM35" s="348"/>
      <c r="BN35" s="3493"/>
    </row>
    <row r="36" spans="1:66" s="342" customFormat="1" ht="15" customHeight="1">
      <c r="A36" s="4519"/>
      <c r="B36" s="2740" t="str">
        <f t="shared" si="23"/>
        <v>Medium</v>
      </c>
      <c r="C36" s="2151"/>
      <c r="D36" s="36" t="s">
        <v>40</v>
      </c>
      <c r="E36" s="3845"/>
      <c r="F36" s="2143">
        <f t="shared" si="24"/>
        <v>0</v>
      </c>
      <c r="G36" s="2143">
        <f t="shared" si="25"/>
        <v>0</v>
      </c>
      <c r="H36" s="3024" t="s">
        <v>107</v>
      </c>
      <c r="I36" s="2347">
        <v>7.9</v>
      </c>
      <c r="J36" s="3025">
        <v>30</v>
      </c>
      <c r="K36" s="2116"/>
      <c r="L36" s="2116"/>
      <c r="M36" s="2116">
        <v>6</v>
      </c>
      <c r="N36" s="2116">
        <v>6</v>
      </c>
      <c r="O36" s="2117"/>
      <c r="P36" s="3022">
        <f t="shared" si="16"/>
        <v>30</v>
      </c>
      <c r="Q36" s="2125">
        <f t="shared" si="16"/>
        <v>0</v>
      </c>
      <c r="R36" s="2125">
        <f t="shared" si="16"/>
        <v>0</v>
      </c>
      <c r="S36" s="2125">
        <f t="shared" si="16"/>
        <v>6</v>
      </c>
      <c r="T36" s="2125">
        <f t="shared" si="16"/>
        <v>6</v>
      </c>
      <c r="U36" s="2126">
        <f t="shared" si="16"/>
        <v>0</v>
      </c>
      <c r="V36" s="3023">
        <v>19</v>
      </c>
      <c r="W36" s="2116"/>
      <c r="X36" s="2116"/>
      <c r="Y36" s="2116">
        <v>6</v>
      </c>
      <c r="Z36" s="2116">
        <v>6</v>
      </c>
      <c r="AA36" s="2117"/>
      <c r="AB36" s="414">
        <f t="shared" si="32"/>
        <v>365</v>
      </c>
      <c r="AC36" s="25">
        <f t="shared" si="33"/>
        <v>0.75</v>
      </c>
      <c r="AD36" s="388">
        <f t="shared" si="34"/>
        <v>34</v>
      </c>
      <c r="AE36" s="358"/>
      <c r="AF36" s="394">
        <f t="shared" si="35"/>
        <v>0</v>
      </c>
      <c r="AG36" s="388">
        <f t="shared" si="36"/>
        <v>0</v>
      </c>
      <c r="AH36" s="388">
        <f t="shared" si="37"/>
        <v>0</v>
      </c>
      <c r="AI36" s="388"/>
      <c r="AJ36" s="395"/>
      <c r="AK36" s="388">
        <f t="shared" si="17"/>
        <v>237</v>
      </c>
      <c r="AL36" s="388">
        <f t="shared" si="17"/>
        <v>0</v>
      </c>
      <c r="AM36" s="388">
        <f t="shared" si="17"/>
        <v>0</v>
      </c>
      <c r="AN36" s="388">
        <f t="shared" si="17"/>
        <v>47.400000000000006</v>
      </c>
      <c r="AO36" s="388">
        <f t="shared" si="17"/>
        <v>47.400000000000006</v>
      </c>
      <c r="AP36" s="388">
        <f t="shared" si="17"/>
        <v>0</v>
      </c>
      <c r="AQ36" s="28">
        <f t="shared" si="17"/>
        <v>237</v>
      </c>
      <c r="AR36" s="298">
        <f t="shared" si="17"/>
        <v>0</v>
      </c>
      <c r="AS36" s="301">
        <f t="shared" si="17"/>
        <v>0</v>
      </c>
      <c r="AT36" s="302">
        <f t="shared" si="17"/>
        <v>47.400000000000006</v>
      </c>
      <c r="AU36" s="298">
        <f t="shared" si="17"/>
        <v>47.400000000000006</v>
      </c>
      <c r="AV36" s="421">
        <f t="shared" si="18"/>
        <v>0</v>
      </c>
      <c r="AW36" s="28">
        <f>$I36*V36</f>
        <v>150.1</v>
      </c>
      <c r="AX36" s="388">
        <f t="shared" si="18"/>
        <v>0</v>
      </c>
      <c r="AY36" s="388">
        <f>$I36*X36</f>
        <v>0</v>
      </c>
      <c r="AZ36" s="388">
        <f t="shared" si="18"/>
        <v>47.400000000000006</v>
      </c>
      <c r="BA36" s="388">
        <f t="shared" si="18"/>
        <v>47.400000000000006</v>
      </c>
      <c r="BB36" s="388">
        <f t="shared" si="19"/>
        <v>0</v>
      </c>
      <c r="BC36" s="4431" t="str">
        <f t="shared" si="20"/>
        <v xml:space="preserve">First Gold (Prima Donna) </v>
      </c>
      <c r="BD36" s="4431"/>
      <c r="BE36" s="4431"/>
      <c r="BF36" s="4432"/>
      <c r="BG36" s="348"/>
      <c r="BH36" s="3212" t="s">
        <v>79</v>
      </c>
      <c r="BI36" s="3212" t="s">
        <v>77</v>
      </c>
      <c r="BJ36" s="316" t="s">
        <v>78</v>
      </c>
      <c r="BK36" s="348"/>
      <c r="BL36" s="348"/>
      <c r="BM36" s="348"/>
      <c r="BN36" s="3493"/>
    </row>
    <row r="37" spans="1:66" s="342" customFormat="1" ht="15" customHeight="1">
      <c r="A37" s="4519"/>
      <c r="B37" s="2740" t="str">
        <f t="shared" si="23"/>
        <v>Dark</v>
      </c>
      <c r="C37" s="2151"/>
      <c r="D37" s="36" t="s">
        <v>40</v>
      </c>
      <c r="E37" s="3845"/>
      <c r="F37" s="2143">
        <f t="shared" si="24"/>
        <v>0</v>
      </c>
      <c r="G37" s="2143">
        <f t="shared" si="25"/>
        <v>0</v>
      </c>
      <c r="H37" s="3024" t="s">
        <v>108</v>
      </c>
      <c r="I37" s="2347">
        <v>4.5</v>
      </c>
      <c r="J37" s="3025"/>
      <c r="K37" s="2116"/>
      <c r="L37" s="2116"/>
      <c r="M37" s="2116"/>
      <c r="N37" s="2116"/>
      <c r="O37" s="2117"/>
      <c r="P37" s="2986">
        <f t="shared" si="16"/>
        <v>0</v>
      </c>
      <c r="Q37" s="2128">
        <f t="shared" si="16"/>
        <v>0</v>
      </c>
      <c r="R37" s="2128">
        <f t="shared" si="16"/>
        <v>0</v>
      </c>
      <c r="S37" s="2128">
        <f t="shared" si="16"/>
        <v>0</v>
      </c>
      <c r="T37" s="2128">
        <f t="shared" si="16"/>
        <v>0</v>
      </c>
      <c r="U37" s="2129">
        <f>O37</f>
        <v>0</v>
      </c>
      <c r="V37" s="3023"/>
      <c r="W37" s="2116"/>
      <c r="X37" s="2116"/>
      <c r="Y37" s="2116"/>
      <c r="Z37" s="2116"/>
      <c r="AA37" s="2117"/>
      <c r="AB37" s="414">
        <f t="shared" si="32"/>
        <v>365</v>
      </c>
      <c r="AC37" s="25">
        <f t="shared" si="33"/>
        <v>0.75</v>
      </c>
      <c r="AD37" s="388">
        <f t="shared" si="34"/>
        <v>57</v>
      </c>
      <c r="AE37" s="358"/>
      <c r="AF37" s="394">
        <f t="shared" si="35"/>
        <v>0</v>
      </c>
      <c r="AG37" s="388">
        <f t="shared" si="36"/>
        <v>0</v>
      </c>
      <c r="AH37" s="388">
        <f t="shared" si="37"/>
        <v>0</v>
      </c>
      <c r="AI37" s="388"/>
      <c r="AJ37" s="395"/>
      <c r="AK37" s="388">
        <f t="shared" si="17"/>
        <v>0</v>
      </c>
      <c r="AL37" s="388">
        <f t="shared" si="17"/>
        <v>0</v>
      </c>
      <c r="AM37" s="388">
        <f t="shared" si="17"/>
        <v>0</v>
      </c>
      <c r="AN37" s="388">
        <f t="shared" si="17"/>
        <v>0</v>
      </c>
      <c r="AO37" s="388">
        <f t="shared" si="17"/>
        <v>0</v>
      </c>
      <c r="AP37" s="388">
        <f t="shared" si="17"/>
        <v>0</v>
      </c>
      <c r="AQ37" s="28">
        <f t="shared" si="17"/>
        <v>0</v>
      </c>
      <c r="AR37" s="298">
        <f t="shared" si="17"/>
        <v>0</v>
      </c>
      <c r="AS37" s="301">
        <f t="shared" si="17"/>
        <v>0</v>
      </c>
      <c r="AT37" s="302">
        <f t="shared" si="17"/>
        <v>0</v>
      </c>
      <c r="AU37" s="298">
        <f t="shared" si="17"/>
        <v>0</v>
      </c>
      <c r="AV37" s="421">
        <f t="shared" si="18"/>
        <v>0</v>
      </c>
      <c r="AW37" s="28">
        <f t="shared" si="18"/>
        <v>0</v>
      </c>
      <c r="AX37" s="388">
        <f t="shared" si="18"/>
        <v>0</v>
      </c>
      <c r="AY37" s="388">
        <f t="shared" si="18"/>
        <v>0</v>
      </c>
      <c r="AZ37" s="388">
        <f t="shared" si="18"/>
        <v>0</v>
      </c>
      <c r="BA37" s="388">
        <f t="shared" si="18"/>
        <v>0</v>
      </c>
      <c r="BB37" s="388">
        <f t="shared" si="19"/>
        <v>0</v>
      </c>
      <c r="BC37" s="4431" t="str">
        <f t="shared" si="20"/>
        <v>Fuggles</v>
      </c>
      <c r="BD37" s="4431"/>
      <c r="BE37" s="4431"/>
      <c r="BF37" s="4432"/>
      <c r="BG37" s="348"/>
      <c r="BH37" s="3248">
        <v>1</v>
      </c>
      <c r="BI37" s="3257">
        <f t="shared" ref="BI37:BI42" si="38">BJ37*(5/6)</f>
        <v>1.7611524981948188</v>
      </c>
      <c r="BJ37" s="41">
        <f t="shared" ref="BJ37:BJ42" si="39">8*BH37/3.7854</f>
        <v>2.1133829978337824</v>
      </c>
      <c r="BK37" s="348"/>
      <c r="BL37" s="348"/>
      <c r="BM37" s="348"/>
      <c r="BN37" s="3493"/>
    </row>
    <row r="38" spans="1:66" s="342" customFormat="1" ht="15" customHeight="1">
      <c r="A38" s="4519"/>
      <c r="B38" s="2741" t="str">
        <f t="shared" si="23"/>
        <v>Wheat (55%)</v>
      </c>
      <c r="C38" s="2151"/>
      <c r="D38" s="37" t="s">
        <v>40</v>
      </c>
      <c r="E38" s="3844"/>
      <c r="F38" s="2148">
        <f t="shared" si="24"/>
        <v>0</v>
      </c>
      <c r="G38" s="2148">
        <f t="shared" si="25"/>
        <v>0</v>
      </c>
      <c r="H38" s="3024" t="s">
        <v>109</v>
      </c>
      <c r="I38" s="2347">
        <v>5</v>
      </c>
      <c r="J38" s="3025"/>
      <c r="K38" s="2116"/>
      <c r="L38" s="2116"/>
      <c r="M38" s="2116"/>
      <c r="N38" s="2116"/>
      <c r="O38" s="2117"/>
      <c r="P38" s="3022">
        <f t="shared" si="16"/>
        <v>0</v>
      </c>
      <c r="Q38" s="2125">
        <f t="shared" si="16"/>
        <v>0</v>
      </c>
      <c r="R38" s="2125">
        <f t="shared" si="16"/>
        <v>0</v>
      </c>
      <c r="S38" s="2125">
        <f t="shared" si="16"/>
        <v>0</v>
      </c>
      <c r="T38" s="2125">
        <f t="shared" si="16"/>
        <v>0</v>
      </c>
      <c r="U38" s="2126">
        <f t="shared" si="16"/>
        <v>0</v>
      </c>
      <c r="V38" s="3023"/>
      <c r="W38" s="2116"/>
      <c r="X38" s="2116"/>
      <c r="Y38" s="2116"/>
      <c r="Z38" s="2116"/>
      <c r="AA38" s="2117"/>
      <c r="AB38" s="414">
        <f t="shared" si="32"/>
        <v>365</v>
      </c>
      <c r="AC38" s="25">
        <f t="shared" si="33"/>
        <v>0.75</v>
      </c>
      <c r="AD38" s="388">
        <f t="shared" si="34"/>
        <v>6</v>
      </c>
      <c r="AE38" s="358"/>
      <c r="AF38" s="394">
        <f t="shared" si="35"/>
        <v>0</v>
      </c>
      <c r="AG38" s="388">
        <f t="shared" si="36"/>
        <v>0</v>
      </c>
      <c r="AH38" s="388">
        <f t="shared" si="37"/>
        <v>0</v>
      </c>
      <c r="AI38" s="388"/>
      <c r="AJ38" s="395"/>
      <c r="AK38" s="388">
        <f t="shared" si="17"/>
        <v>0</v>
      </c>
      <c r="AL38" s="388">
        <f t="shared" si="17"/>
        <v>0</v>
      </c>
      <c r="AM38" s="388">
        <f t="shared" si="17"/>
        <v>0</v>
      </c>
      <c r="AN38" s="388">
        <f t="shared" si="17"/>
        <v>0</v>
      </c>
      <c r="AO38" s="388">
        <f t="shared" si="17"/>
        <v>0</v>
      </c>
      <c r="AP38" s="388">
        <f t="shared" si="17"/>
        <v>0</v>
      </c>
      <c r="AQ38" s="28">
        <f t="shared" si="17"/>
        <v>0</v>
      </c>
      <c r="AR38" s="298">
        <f t="shared" si="17"/>
        <v>0</v>
      </c>
      <c r="AS38" s="301">
        <f t="shared" si="17"/>
        <v>0</v>
      </c>
      <c r="AT38" s="302">
        <f t="shared" si="17"/>
        <v>0</v>
      </c>
      <c r="AU38" s="298">
        <f t="shared" si="17"/>
        <v>0</v>
      </c>
      <c r="AV38" s="421">
        <f t="shared" si="18"/>
        <v>0</v>
      </c>
      <c r="AW38" s="28">
        <f t="shared" si="18"/>
        <v>0</v>
      </c>
      <c r="AX38" s="388">
        <f t="shared" si="18"/>
        <v>0</v>
      </c>
      <c r="AY38" s="388">
        <f t="shared" si="18"/>
        <v>0</v>
      </c>
      <c r="AZ38" s="388">
        <f t="shared" si="18"/>
        <v>0</v>
      </c>
      <c r="BA38" s="388">
        <f t="shared" si="18"/>
        <v>0</v>
      </c>
      <c r="BB38" s="388">
        <f t="shared" si="19"/>
        <v>0</v>
      </c>
      <c r="BC38" s="4431" t="str">
        <f t="shared" si="20"/>
        <v>Goldings (Worc.)</v>
      </c>
      <c r="BD38" s="4431"/>
      <c r="BE38" s="4431"/>
      <c r="BF38" s="4432"/>
      <c r="BG38" s="363"/>
      <c r="BH38" s="3248">
        <v>2</v>
      </c>
      <c r="BI38" s="3257">
        <f t="shared" si="38"/>
        <v>3.5223049963896376</v>
      </c>
      <c r="BJ38" s="41">
        <f t="shared" si="39"/>
        <v>4.2267659956675647</v>
      </c>
      <c r="BK38" s="348"/>
      <c r="BL38" s="348"/>
      <c r="BM38" s="348"/>
      <c r="BN38" s="3493"/>
    </row>
    <row r="39" spans="1:66" s="342" customFormat="1" ht="15" customHeight="1">
      <c r="A39" s="4519"/>
      <c r="B39" s="2742" t="str">
        <f t="shared" si="23"/>
        <v>OTHER</v>
      </c>
      <c r="C39" s="2155"/>
      <c r="D39" s="36" t="s">
        <v>40</v>
      </c>
      <c r="E39" s="3850"/>
      <c r="F39" s="2143">
        <f t="shared" si="24"/>
        <v>0</v>
      </c>
      <c r="G39" s="2143">
        <f t="shared" si="25"/>
        <v>0</v>
      </c>
      <c r="H39" s="3024" t="s">
        <v>110</v>
      </c>
      <c r="I39" s="2347">
        <v>13</v>
      </c>
      <c r="J39" s="3025"/>
      <c r="K39" s="2116"/>
      <c r="L39" s="2116"/>
      <c r="M39" s="2116"/>
      <c r="N39" s="2116"/>
      <c r="O39" s="2117"/>
      <c r="P39" s="3022">
        <f t="shared" si="16"/>
        <v>0</v>
      </c>
      <c r="Q39" s="2125">
        <f t="shared" si="16"/>
        <v>0</v>
      </c>
      <c r="R39" s="2125">
        <f t="shared" si="16"/>
        <v>0</v>
      </c>
      <c r="S39" s="2125">
        <f t="shared" si="16"/>
        <v>0</v>
      </c>
      <c r="T39" s="2125">
        <f t="shared" si="16"/>
        <v>0</v>
      </c>
      <c r="U39" s="2126">
        <f t="shared" si="16"/>
        <v>0</v>
      </c>
      <c r="V39" s="3023"/>
      <c r="W39" s="2116"/>
      <c r="X39" s="2116"/>
      <c r="Y39" s="2116"/>
      <c r="Z39" s="2116"/>
      <c r="AA39" s="2117"/>
      <c r="AB39" s="414">
        <f t="shared" si="32"/>
        <v>0</v>
      </c>
      <c r="AC39" s="25">
        <f t="shared" si="33"/>
        <v>0.75</v>
      </c>
      <c r="AD39" s="388">
        <f t="shared" si="34"/>
        <v>0</v>
      </c>
      <c r="AE39" s="358"/>
      <c r="AF39" s="394">
        <f t="shared" si="35"/>
        <v>0</v>
      </c>
      <c r="AG39" s="388">
        <f t="shared" si="36"/>
        <v>0</v>
      </c>
      <c r="AH39" s="388">
        <f t="shared" si="37"/>
        <v>0</v>
      </c>
      <c r="AI39" s="388"/>
      <c r="AJ39" s="395"/>
      <c r="AK39" s="388">
        <f t="shared" si="17"/>
        <v>0</v>
      </c>
      <c r="AL39" s="388">
        <f t="shared" si="17"/>
        <v>0</v>
      </c>
      <c r="AM39" s="388">
        <f t="shared" si="17"/>
        <v>0</v>
      </c>
      <c r="AN39" s="388">
        <f t="shared" si="17"/>
        <v>0</v>
      </c>
      <c r="AO39" s="388">
        <f t="shared" si="17"/>
        <v>0</v>
      </c>
      <c r="AP39" s="388">
        <f t="shared" si="17"/>
        <v>0</v>
      </c>
      <c r="AQ39" s="28">
        <f t="shared" si="17"/>
        <v>0</v>
      </c>
      <c r="AR39" s="298">
        <f t="shared" si="17"/>
        <v>0</v>
      </c>
      <c r="AS39" s="301">
        <f t="shared" si="17"/>
        <v>0</v>
      </c>
      <c r="AT39" s="302">
        <f t="shared" si="17"/>
        <v>0</v>
      </c>
      <c r="AU39" s="298">
        <f t="shared" si="17"/>
        <v>0</v>
      </c>
      <c r="AV39" s="421">
        <f t="shared" si="18"/>
        <v>0</v>
      </c>
      <c r="AW39" s="28">
        <f t="shared" si="18"/>
        <v>0</v>
      </c>
      <c r="AX39" s="388">
        <f t="shared" si="18"/>
        <v>0</v>
      </c>
      <c r="AY39" s="388">
        <f t="shared" si="18"/>
        <v>0</v>
      </c>
      <c r="AZ39" s="388">
        <f t="shared" si="18"/>
        <v>0</v>
      </c>
      <c r="BA39" s="388">
        <f t="shared" si="18"/>
        <v>0</v>
      </c>
      <c r="BB39" s="388">
        <f t="shared" si="19"/>
        <v>0</v>
      </c>
      <c r="BC39" s="4431" t="str">
        <f t="shared" si="20"/>
        <v>Green Bullet</v>
      </c>
      <c r="BD39" s="4431"/>
      <c r="BE39" s="4431"/>
      <c r="BF39" s="4432"/>
      <c r="BG39" s="348"/>
      <c r="BH39" s="3248">
        <v>3</v>
      </c>
      <c r="BI39" s="3257">
        <f t="shared" si="38"/>
        <v>5.2834574945844563</v>
      </c>
      <c r="BJ39" s="41">
        <f t="shared" si="39"/>
        <v>6.3401489935013471</v>
      </c>
      <c r="BK39" s="348"/>
      <c r="BL39" s="348"/>
      <c r="BM39" s="348"/>
      <c r="BN39" s="3493"/>
    </row>
    <row r="40" spans="1:66" s="342" customFormat="1" ht="15" customHeight="1">
      <c r="A40" s="4519"/>
      <c r="B40" s="38" t="s">
        <v>71</v>
      </c>
      <c r="C40" s="2153"/>
      <c r="D40" s="32"/>
      <c r="E40" s="2170" t="s">
        <v>41</v>
      </c>
      <c r="F40" s="2146"/>
      <c r="G40" s="3006" t="s">
        <v>101</v>
      </c>
      <c r="H40" s="3024" t="s">
        <v>111</v>
      </c>
      <c r="I40" s="2347">
        <v>2</v>
      </c>
      <c r="J40" s="3025"/>
      <c r="K40" s="2116"/>
      <c r="L40" s="2116"/>
      <c r="M40" s="2116"/>
      <c r="N40" s="2116"/>
      <c r="O40" s="2117"/>
      <c r="P40" s="3022">
        <f t="shared" si="16"/>
        <v>0</v>
      </c>
      <c r="Q40" s="2125">
        <f t="shared" si="16"/>
        <v>0</v>
      </c>
      <c r="R40" s="2125">
        <f t="shared" si="16"/>
        <v>0</v>
      </c>
      <c r="S40" s="2125">
        <f t="shared" si="16"/>
        <v>0</v>
      </c>
      <c r="T40" s="2125">
        <f t="shared" si="16"/>
        <v>0</v>
      </c>
      <c r="U40" s="2126">
        <f t="shared" si="16"/>
        <v>0</v>
      </c>
      <c r="V40" s="3023"/>
      <c r="W40" s="2116"/>
      <c r="X40" s="2116"/>
      <c r="Y40" s="2116"/>
      <c r="Z40" s="2116"/>
      <c r="AA40" s="2117"/>
      <c r="AB40" s="388"/>
      <c r="AC40" s="39"/>
      <c r="AD40" s="388"/>
      <c r="AE40" s="40" t="s">
        <v>112</v>
      </c>
      <c r="AF40" s="394"/>
      <c r="AG40" s="388"/>
      <c r="AH40" s="388"/>
      <c r="AI40" s="388"/>
      <c r="AJ40" s="395"/>
      <c r="AK40" s="388">
        <f t="shared" si="17"/>
        <v>0</v>
      </c>
      <c r="AL40" s="388">
        <f t="shared" si="17"/>
        <v>0</v>
      </c>
      <c r="AM40" s="388">
        <f t="shared" si="17"/>
        <v>0</v>
      </c>
      <c r="AN40" s="388">
        <f t="shared" si="17"/>
        <v>0</v>
      </c>
      <c r="AO40" s="388">
        <f t="shared" si="17"/>
        <v>0</v>
      </c>
      <c r="AP40" s="388">
        <f t="shared" si="17"/>
        <v>0</v>
      </c>
      <c r="AQ40" s="28">
        <f t="shared" si="17"/>
        <v>0</v>
      </c>
      <c r="AR40" s="298">
        <f t="shared" si="17"/>
        <v>0</v>
      </c>
      <c r="AS40" s="301">
        <f t="shared" si="17"/>
        <v>0</v>
      </c>
      <c r="AT40" s="302">
        <f t="shared" si="17"/>
        <v>0</v>
      </c>
      <c r="AU40" s="298">
        <f t="shared" si="17"/>
        <v>0</v>
      </c>
      <c r="AV40" s="421">
        <f t="shared" si="18"/>
        <v>0</v>
      </c>
      <c r="AW40" s="28">
        <f t="shared" si="18"/>
        <v>0</v>
      </c>
      <c r="AX40" s="388">
        <f t="shared" si="18"/>
        <v>0</v>
      </c>
      <c r="AY40" s="388">
        <f t="shared" si="18"/>
        <v>0</v>
      </c>
      <c r="AZ40" s="388">
        <f t="shared" si="18"/>
        <v>0</v>
      </c>
      <c r="BA40" s="388">
        <f t="shared" si="18"/>
        <v>0</v>
      </c>
      <c r="BB40" s="388">
        <f t="shared" si="19"/>
        <v>0</v>
      </c>
      <c r="BC40" s="4431" t="str">
        <f t="shared" si="20"/>
        <v>Hallertauer ("German")</v>
      </c>
      <c r="BD40" s="4431"/>
      <c r="BE40" s="4431"/>
      <c r="BF40" s="4432"/>
      <c r="BG40" s="348"/>
      <c r="BH40" s="3248">
        <v>4</v>
      </c>
      <c r="BI40" s="3257">
        <f t="shared" si="38"/>
        <v>7.0446099927792751</v>
      </c>
      <c r="BJ40" s="41">
        <f t="shared" si="39"/>
        <v>8.4535319913351294</v>
      </c>
      <c r="BK40" s="348"/>
      <c r="BL40" s="348"/>
      <c r="BM40" s="348"/>
      <c r="BN40" s="3493"/>
    </row>
    <row r="41" spans="1:66" s="342" customFormat="1" ht="15" customHeight="1">
      <c r="A41" s="4519"/>
      <c r="B41" s="42" t="s">
        <v>113</v>
      </c>
      <c r="C41" s="2154" t="s">
        <v>72</v>
      </c>
      <c r="D41" s="1674" t="s">
        <v>73</v>
      </c>
      <c r="E41" s="2171" t="s">
        <v>114</v>
      </c>
      <c r="F41" s="2147" t="s">
        <v>74</v>
      </c>
      <c r="G41" s="3007" t="s">
        <v>103</v>
      </c>
      <c r="H41" s="3024" t="s">
        <v>115</v>
      </c>
      <c r="I41" s="2347">
        <v>4.5</v>
      </c>
      <c r="J41" s="3025"/>
      <c r="K41" s="2116"/>
      <c r="L41" s="2116"/>
      <c r="M41" s="2116"/>
      <c r="N41" s="2116"/>
      <c r="O41" s="2117"/>
      <c r="P41" s="3022">
        <f t="shared" si="16"/>
        <v>0</v>
      </c>
      <c r="Q41" s="2125">
        <f t="shared" si="16"/>
        <v>0</v>
      </c>
      <c r="R41" s="2125">
        <f t="shared" si="16"/>
        <v>0</v>
      </c>
      <c r="S41" s="2125">
        <f t="shared" si="16"/>
        <v>0</v>
      </c>
      <c r="T41" s="2125">
        <f t="shared" si="16"/>
        <v>0</v>
      </c>
      <c r="U41" s="2126">
        <f t="shared" si="16"/>
        <v>0</v>
      </c>
      <c r="V41" s="3023"/>
      <c r="W41" s="2116"/>
      <c r="X41" s="2116"/>
      <c r="Y41" s="2116"/>
      <c r="Z41" s="2116"/>
      <c r="AA41" s="2117"/>
      <c r="AB41" s="388"/>
      <c r="AC41" s="39"/>
      <c r="AD41" s="388"/>
      <c r="AE41" s="43" t="s">
        <v>116</v>
      </c>
      <c r="AF41" s="394"/>
      <c r="AG41" s="388"/>
      <c r="AH41" s="388"/>
      <c r="AI41" s="388" t="s">
        <v>112</v>
      </c>
      <c r="AJ41" s="395"/>
      <c r="AK41" s="388">
        <f t="shared" si="17"/>
        <v>0</v>
      </c>
      <c r="AL41" s="388">
        <f t="shared" si="17"/>
        <v>0</v>
      </c>
      <c r="AM41" s="388">
        <f t="shared" si="17"/>
        <v>0</v>
      </c>
      <c r="AN41" s="388">
        <f t="shared" si="17"/>
        <v>0</v>
      </c>
      <c r="AO41" s="388">
        <f t="shared" si="17"/>
        <v>0</v>
      </c>
      <c r="AP41" s="388">
        <f t="shared" si="17"/>
        <v>0</v>
      </c>
      <c r="AQ41" s="28">
        <f t="shared" si="17"/>
        <v>0</v>
      </c>
      <c r="AR41" s="298">
        <f t="shared" si="17"/>
        <v>0</v>
      </c>
      <c r="AS41" s="301">
        <f t="shared" si="17"/>
        <v>0</v>
      </c>
      <c r="AT41" s="302">
        <f t="shared" si="17"/>
        <v>0</v>
      </c>
      <c r="AU41" s="298">
        <f t="shared" si="17"/>
        <v>0</v>
      </c>
      <c r="AV41" s="421">
        <f t="shared" si="18"/>
        <v>0</v>
      </c>
      <c r="AW41" s="28">
        <f t="shared" si="18"/>
        <v>0</v>
      </c>
      <c r="AX41" s="388">
        <f t="shared" si="18"/>
        <v>0</v>
      </c>
      <c r="AY41" s="388">
        <f t="shared" si="18"/>
        <v>0</v>
      </c>
      <c r="AZ41" s="388">
        <f t="shared" si="18"/>
        <v>0</v>
      </c>
      <c r="BA41" s="388">
        <f t="shared" si="18"/>
        <v>0</v>
      </c>
      <c r="BB41" s="388">
        <f t="shared" si="19"/>
        <v>0</v>
      </c>
      <c r="BC41" s="4431" t="str">
        <f t="shared" si="20"/>
        <v>Hallertauer ("Pacific")</v>
      </c>
      <c r="BD41" s="4431"/>
      <c r="BE41" s="4431"/>
      <c r="BF41" s="4432"/>
      <c r="BG41" s="864"/>
      <c r="BH41" s="3248">
        <v>5</v>
      </c>
      <c r="BI41" s="3257">
        <f t="shared" si="38"/>
        <v>8.8057624909740948</v>
      </c>
      <c r="BJ41" s="41">
        <f t="shared" si="39"/>
        <v>10.566914989168913</v>
      </c>
      <c r="BK41" s="348"/>
      <c r="BL41" s="348"/>
      <c r="BM41" s="348"/>
      <c r="BN41" s="3493"/>
    </row>
    <row r="42" spans="1:66" s="342" customFormat="1" ht="15" customHeight="1">
      <c r="A42" s="4519"/>
      <c r="B42" s="2743" t="str">
        <f>B139</f>
        <v>Light</v>
      </c>
      <c r="C42" s="2156"/>
      <c r="D42" s="24" t="s">
        <v>40</v>
      </c>
      <c r="E42" s="2172">
        <f>0.01*AE42*C42/$C$4</f>
        <v>0</v>
      </c>
      <c r="F42" s="2149">
        <f>100*IF(C42=0,0,C42/$F$83)</f>
        <v>0</v>
      </c>
      <c r="G42" s="2143">
        <f>IF(AF42=0,0,AF42*100/$AF$82)</f>
        <v>0</v>
      </c>
      <c r="H42" s="3024" t="s">
        <v>117</v>
      </c>
      <c r="I42" s="2347">
        <v>4</v>
      </c>
      <c r="J42" s="3025"/>
      <c r="K42" s="2116"/>
      <c r="L42" s="2116"/>
      <c r="M42" s="2116"/>
      <c r="N42" s="2116"/>
      <c r="O42" s="2117"/>
      <c r="P42" s="3022">
        <f t="shared" si="16"/>
        <v>0</v>
      </c>
      <c r="Q42" s="2125">
        <f t="shared" si="16"/>
        <v>0</v>
      </c>
      <c r="R42" s="2125">
        <f t="shared" si="16"/>
        <v>0</v>
      </c>
      <c r="S42" s="2125">
        <f t="shared" si="16"/>
        <v>0</v>
      </c>
      <c r="T42" s="2125">
        <f t="shared" si="16"/>
        <v>0</v>
      </c>
      <c r="U42" s="2126">
        <f t="shared" si="16"/>
        <v>0</v>
      </c>
      <c r="V42" s="3023"/>
      <c r="W42" s="2116"/>
      <c r="X42" s="2116"/>
      <c r="Y42" s="2116"/>
      <c r="Z42" s="2116"/>
      <c r="AA42" s="2117"/>
      <c r="AB42" s="388">
        <f>C139</f>
        <v>310</v>
      </c>
      <c r="AC42" s="25">
        <f>C$87/100</f>
        <v>0.75</v>
      </c>
      <c r="AD42" s="388">
        <f t="shared" ref="AD42:AE42" si="40">D139</f>
        <v>10</v>
      </c>
      <c r="AE42" s="40">
        <f t="shared" si="40"/>
        <v>30</v>
      </c>
      <c r="AF42" s="394">
        <f>0.001*C42*AB42</f>
        <v>0</v>
      </c>
      <c r="AG42" s="388">
        <f>AF42*AC42</f>
        <v>0</v>
      </c>
      <c r="AH42" s="388">
        <f>0.01*C42*AD42</f>
        <v>0</v>
      </c>
      <c r="AI42" s="388">
        <f>0.01*C42*AE42</f>
        <v>0</v>
      </c>
      <c r="AJ42" s="395"/>
      <c r="AK42" s="388">
        <f t="shared" si="17"/>
        <v>0</v>
      </c>
      <c r="AL42" s="388">
        <f t="shared" si="17"/>
        <v>0</v>
      </c>
      <c r="AM42" s="388">
        <f t="shared" si="17"/>
        <v>0</v>
      </c>
      <c r="AN42" s="388">
        <f t="shared" si="17"/>
        <v>0</v>
      </c>
      <c r="AO42" s="388">
        <f t="shared" si="17"/>
        <v>0</v>
      </c>
      <c r="AP42" s="388">
        <f t="shared" si="17"/>
        <v>0</v>
      </c>
      <c r="AQ42" s="28">
        <f t="shared" si="17"/>
        <v>0</v>
      </c>
      <c r="AR42" s="298">
        <f t="shared" si="17"/>
        <v>0</v>
      </c>
      <c r="AS42" s="301">
        <f t="shared" si="17"/>
        <v>0</v>
      </c>
      <c r="AT42" s="302">
        <f t="shared" si="17"/>
        <v>0</v>
      </c>
      <c r="AU42" s="298">
        <f t="shared" si="17"/>
        <v>0</v>
      </c>
      <c r="AV42" s="421">
        <f t="shared" si="18"/>
        <v>0</v>
      </c>
      <c r="AW42" s="28">
        <f t="shared" si="18"/>
        <v>0</v>
      </c>
      <c r="AX42" s="388">
        <f t="shared" si="18"/>
        <v>0</v>
      </c>
      <c r="AY42" s="388">
        <f t="shared" si="18"/>
        <v>0</v>
      </c>
      <c r="AZ42" s="388">
        <f t="shared" si="18"/>
        <v>0</v>
      </c>
      <c r="BA42" s="388">
        <f t="shared" si="18"/>
        <v>0</v>
      </c>
      <c r="BB42" s="388">
        <f t="shared" si="19"/>
        <v>0</v>
      </c>
      <c r="BC42" s="4431" t="str">
        <f t="shared" si="20"/>
        <v>Liberty</v>
      </c>
      <c r="BD42" s="4431"/>
      <c r="BE42" s="4431"/>
      <c r="BF42" s="4432"/>
      <c r="BG42" s="864"/>
      <c r="BH42" s="3248">
        <v>10</v>
      </c>
      <c r="BI42" s="3257">
        <f t="shared" si="38"/>
        <v>17.61152498194819</v>
      </c>
      <c r="BJ42" s="41">
        <f t="shared" si="39"/>
        <v>21.133829978337825</v>
      </c>
      <c r="BK42" s="348"/>
      <c r="BL42" s="348"/>
      <c r="BM42" s="348"/>
      <c r="BN42" s="3493"/>
    </row>
    <row r="43" spans="1:66" s="342" customFormat="1" ht="15" customHeight="1">
      <c r="A43" s="4519"/>
      <c r="B43" s="2738" t="str">
        <f>B140</f>
        <v>Amber</v>
      </c>
      <c r="C43" s="2156"/>
      <c r="D43" s="24" t="s">
        <v>40</v>
      </c>
      <c r="E43" s="2172">
        <f>0.01*AE43*C43/$C$4</f>
        <v>0</v>
      </c>
      <c r="F43" s="2149">
        <f>100*IF(C43=0,0,C43/$F$83)</f>
        <v>0</v>
      </c>
      <c r="G43" s="2143">
        <f>IF(AF43=0,0,AF43*100/$AF$82)</f>
        <v>0</v>
      </c>
      <c r="H43" s="3024" t="s">
        <v>118</v>
      </c>
      <c r="I43" s="2347">
        <v>3</v>
      </c>
      <c r="J43" s="3025"/>
      <c r="K43" s="2116"/>
      <c r="L43" s="2116"/>
      <c r="M43" s="2116"/>
      <c r="N43" s="2116"/>
      <c r="O43" s="2117"/>
      <c r="P43" s="3022">
        <f t="shared" si="16"/>
        <v>0</v>
      </c>
      <c r="Q43" s="2125">
        <f t="shared" si="16"/>
        <v>0</v>
      </c>
      <c r="R43" s="2125">
        <f t="shared" si="16"/>
        <v>0</v>
      </c>
      <c r="S43" s="2125">
        <f t="shared" si="16"/>
        <v>0</v>
      </c>
      <c r="T43" s="2125">
        <f t="shared" si="16"/>
        <v>0</v>
      </c>
      <c r="U43" s="2126">
        <f t="shared" si="16"/>
        <v>0</v>
      </c>
      <c r="V43" s="3023"/>
      <c r="W43" s="2116"/>
      <c r="X43" s="2116"/>
      <c r="Y43" s="2116"/>
      <c r="Z43" s="2116"/>
      <c r="AA43" s="2117"/>
      <c r="AB43" s="388">
        <f t="shared" ref="AB43:AB45" si="41">C140</f>
        <v>310</v>
      </c>
      <c r="AC43" s="25">
        <f t="shared" ref="AC43:AC45" si="42">C$87/100</f>
        <v>0.75</v>
      </c>
      <c r="AD43" s="388">
        <f t="shared" ref="AD43:AD45" si="43">D140</f>
        <v>18</v>
      </c>
      <c r="AE43" s="40">
        <f t="shared" ref="AE43:AE45" si="44">E140</f>
        <v>50</v>
      </c>
      <c r="AF43" s="394">
        <f t="shared" ref="AF43:AF45" si="45">0.001*C43*AB43</f>
        <v>0</v>
      </c>
      <c r="AG43" s="388">
        <f t="shared" ref="AG43:AG45" si="46">AF43*AC43</f>
        <v>0</v>
      </c>
      <c r="AH43" s="388">
        <f t="shared" ref="AH43:AH45" si="47">0.01*C43*AD43</f>
        <v>0</v>
      </c>
      <c r="AI43" s="388">
        <f t="shared" ref="AI43:AI45" si="48">0.01*C43*AE43</f>
        <v>0</v>
      </c>
      <c r="AJ43" s="395"/>
      <c r="AK43" s="388">
        <f t="shared" ref="AK43:AZ58" si="49">$I43*J43</f>
        <v>0</v>
      </c>
      <c r="AL43" s="388">
        <f t="shared" si="49"/>
        <v>0</v>
      </c>
      <c r="AM43" s="388">
        <f t="shared" si="49"/>
        <v>0</v>
      </c>
      <c r="AN43" s="388">
        <f t="shared" si="49"/>
        <v>0</v>
      </c>
      <c r="AO43" s="388">
        <f t="shared" si="49"/>
        <v>0</v>
      </c>
      <c r="AP43" s="388">
        <f t="shared" si="49"/>
        <v>0</v>
      </c>
      <c r="AQ43" s="28">
        <f t="shared" si="49"/>
        <v>0</v>
      </c>
      <c r="AR43" s="298">
        <f t="shared" si="49"/>
        <v>0</v>
      </c>
      <c r="AS43" s="301">
        <f t="shared" si="49"/>
        <v>0</v>
      </c>
      <c r="AT43" s="302">
        <f t="shared" si="49"/>
        <v>0</v>
      </c>
      <c r="AU43" s="298">
        <f t="shared" si="49"/>
        <v>0</v>
      </c>
      <c r="AV43" s="421">
        <f t="shared" si="49"/>
        <v>0</v>
      </c>
      <c r="AW43" s="28">
        <f t="shared" si="49"/>
        <v>0</v>
      </c>
      <c r="AX43" s="388">
        <f t="shared" si="49"/>
        <v>0</v>
      </c>
      <c r="AY43" s="388">
        <f t="shared" si="49"/>
        <v>0</v>
      </c>
      <c r="AZ43" s="388">
        <f t="shared" si="49"/>
        <v>0</v>
      </c>
      <c r="BA43" s="388">
        <f t="shared" ref="BA43:BA63" si="50">$I43*Z43</f>
        <v>0</v>
      </c>
      <c r="BB43" s="388">
        <f t="shared" si="19"/>
        <v>0</v>
      </c>
      <c r="BC43" s="4431" t="str">
        <f t="shared" si="20"/>
        <v>Lublin</v>
      </c>
      <c r="BD43" s="4431"/>
      <c r="BE43" s="4431"/>
      <c r="BF43" s="4432"/>
      <c r="BG43" s="864"/>
      <c r="BH43" s="3248">
        <v>11</v>
      </c>
      <c r="BI43" s="3257">
        <f>BJ43*(5/6)</f>
        <v>19.372677480143008</v>
      </c>
      <c r="BJ43" s="41">
        <f>8*BH43/3.7854</f>
        <v>23.247212976171607</v>
      </c>
      <c r="BK43" s="348"/>
      <c r="BL43" s="348"/>
      <c r="BM43" s="348"/>
      <c r="BN43" s="3493"/>
    </row>
    <row r="44" spans="1:66" s="342" customFormat="1" ht="15" customHeight="1">
      <c r="A44" s="4519"/>
      <c r="B44" s="2738" t="str">
        <f>B141</f>
        <v>Dark</v>
      </c>
      <c r="C44" s="2157"/>
      <c r="D44" s="24" t="s">
        <v>40</v>
      </c>
      <c r="E44" s="2172">
        <f>0.01*AE44*C44/$C$4</f>
        <v>0</v>
      </c>
      <c r="F44" s="2149">
        <f>100*IF(C44=0,0,C44/$F$83)</f>
        <v>0</v>
      </c>
      <c r="G44" s="2143">
        <f>IF(AF44=0,0,AF44*100/$AF$82)</f>
        <v>0</v>
      </c>
      <c r="H44" s="3024" t="s">
        <v>119</v>
      </c>
      <c r="I44" s="2347">
        <v>13</v>
      </c>
      <c r="J44" s="3025"/>
      <c r="K44" s="2116"/>
      <c r="L44" s="2116"/>
      <c r="M44" s="2116"/>
      <c r="N44" s="2116"/>
      <c r="O44" s="2117"/>
      <c r="P44" s="3022">
        <f t="shared" si="16"/>
        <v>0</v>
      </c>
      <c r="Q44" s="2125">
        <f t="shared" si="16"/>
        <v>0</v>
      </c>
      <c r="R44" s="2125">
        <f t="shared" si="16"/>
        <v>0</v>
      </c>
      <c r="S44" s="2125">
        <f t="shared" si="16"/>
        <v>0</v>
      </c>
      <c r="T44" s="2125">
        <f t="shared" si="16"/>
        <v>0</v>
      </c>
      <c r="U44" s="2126">
        <f t="shared" si="16"/>
        <v>0</v>
      </c>
      <c r="V44" s="3023"/>
      <c r="W44" s="2116"/>
      <c r="X44" s="2116"/>
      <c r="Y44" s="2116"/>
      <c r="Z44" s="2116"/>
      <c r="AA44" s="2117"/>
      <c r="AB44" s="388">
        <f t="shared" si="41"/>
        <v>310</v>
      </c>
      <c r="AC44" s="25">
        <f t="shared" si="42"/>
        <v>0.75</v>
      </c>
      <c r="AD44" s="388">
        <f t="shared" si="43"/>
        <v>55</v>
      </c>
      <c r="AE44" s="40">
        <f t="shared" si="44"/>
        <v>50</v>
      </c>
      <c r="AF44" s="394">
        <f t="shared" si="45"/>
        <v>0</v>
      </c>
      <c r="AG44" s="388">
        <f t="shared" si="46"/>
        <v>0</v>
      </c>
      <c r="AH44" s="388">
        <f t="shared" si="47"/>
        <v>0</v>
      </c>
      <c r="AI44" s="388">
        <f t="shared" si="48"/>
        <v>0</v>
      </c>
      <c r="AJ44" s="395"/>
      <c r="AK44" s="388">
        <f t="shared" si="49"/>
        <v>0</v>
      </c>
      <c r="AL44" s="388">
        <f t="shared" si="49"/>
        <v>0</v>
      </c>
      <c r="AM44" s="388">
        <f t="shared" si="49"/>
        <v>0</v>
      </c>
      <c r="AN44" s="388">
        <f t="shared" si="49"/>
        <v>0</v>
      </c>
      <c r="AO44" s="388">
        <f t="shared" si="49"/>
        <v>0</v>
      </c>
      <c r="AP44" s="388">
        <f t="shared" si="49"/>
        <v>0</v>
      </c>
      <c r="AQ44" s="28">
        <f t="shared" si="49"/>
        <v>0</v>
      </c>
      <c r="AR44" s="298">
        <f t="shared" si="49"/>
        <v>0</v>
      </c>
      <c r="AS44" s="301">
        <f t="shared" si="49"/>
        <v>0</v>
      </c>
      <c r="AT44" s="302">
        <f t="shared" si="49"/>
        <v>0</v>
      </c>
      <c r="AU44" s="298">
        <f t="shared" si="49"/>
        <v>0</v>
      </c>
      <c r="AV44" s="421">
        <f t="shared" si="49"/>
        <v>0</v>
      </c>
      <c r="AW44" s="28">
        <f t="shared" si="49"/>
        <v>0</v>
      </c>
      <c r="AX44" s="388">
        <f t="shared" si="49"/>
        <v>0</v>
      </c>
      <c r="AY44" s="388">
        <f t="shared" si="49"/>
        <v>0</v>
      </c>
      <c r="AZ44" s="388">
        <f t="shared" si="49"/>
        <v>0</v>
      </c>
      <c r="BA44" s="388">
        <f t="shared" si="50"/>
        <v>0</v>
      </c>
      <c r="BB44" s="388">
        <f t="shared" si="19"/>
        <v>0</v>
      </c>
      <c r="BC44" s="4431" t="str">
        <f t="shared" si="20"/>
        <v>Magnum</v>
      </c>
      <c r="BD44" s="4431"/>
      <c r="BE44" s="4431"/>
      <c r="BF44" s="4432"/>
      <c r="BG44" s="3292"/>
      <c r="BH44" s="363"/>
      <c r="BI44" s="363"/>
      <c r="BJ44" s="363"/>
      <c r="BK44" s="417"/>
      <c r="BL44" s="417"/>
      <c r="BM44" s="348"/>
      <c r="BN44" s="3493"/>
    </row>
    <row r="45" spans="1:66" s="342" customFormat="1" ht="15" customHeight="1">
      <c r="A45" s="4519"/>
      <c r="B45" s="2738" t="str">
        <f>B142</f>
        <v>OTHER</v>
      </c>
      <c r="C45" s="2157"/>
      <c r="D45" s="24" t="s">
        <v>40</v>
      </c>
      <c r="E45" s="2173">
        <f>0.01*AE45*C45/$C$4</f>
        <v>0</v>
      </c>
      <c r="F45" s="2149">
        <f>100*IF(C45=0,0,C45/$F$83)</f>
        <v>0</v>
      </c>
      <c r="G45" s="2143">
        <f>IF(AF45=0,0,AF45*100/$AF$82)</f>
        <v>0</v>
      </c>
      <c r="H45" s="3027" t="s">
        <v>120</v>
      </c>
      <c r="I45" s="2347">
        <v>10.5</v>
      </c>
      <c r="J45" s="3025"/>
      <c r="K45" s="2116"/>
      <c r="L45" s="2116"/>
      <c r="M45" s="2116"/>
      <c r="N45" s="2116"/>
      <c r="O45" s="2117"/>
      <c r="P45" s="3022">
        <f t="shared" si="16"/>
        <v>0</v>
      </c>
      <c r="Q45" s="2125">
        <f t="shared" si="16"/>
        <v>0</v>
      </c>
      <c r="R45" s="2125">
        <f t="shared" si="16"/>
        <v>0</v>
      </c>
      <c r="S45" s="2125">
        <f t="shared" si="16"/>
        <v>0</v>
      </c>
      <c r="T45" s="2125">
        <f t="shared" si="16"/>
        <v>0</v>
      </c>
      <c r="U45" s="2126">
        <f t="shared" si="16"/>
        <v>0</v>
      </c>
      <c r="V45" s="3023"/>
      <c r="W45" s="2127"/>
      <c r="X45" s="2116"/>
      <c r="Y45" s="2116"/>
      <c r="Z45" s="2116"/>
      <c r="AA45" s="2117"/>
      <c r="AB45" s="388">
        <f t="shared" si="41"/>
        <v>0</v>
      </c>
      <c r="AC45" s="25">
        <f t="shared" si="42"/>
        <v>0.75</v>
      </c>
      <c r="AD45" s="388">
        <f t="shared" si="43"/>
        <v>0</v>
      </c>
      <c r="AE45" s="40">
        <f t="shared" si="44"/>
        <v>0</v>
      </c>
      <c r="AF45" s="394">
        <f t="shared" si="45"/>
        <v>0</v>
      </c>
      <c r="AG45" s="388">
        <f t="shared" si="46"/>
        <v>0</v>
      </c>
      <c r="AH45" s="388">
        <f t="shared" si="47"/>
        <v>0</v>
      </c>
      <c r="AI45" s="388">
        <f t="shared" si="48"/>
        <v>0</v>
      </c>
      <c r="AJ45" s="395"/>
      <c r="AK45" s="388">
        <f t="shared" si="49"/>
        <v>0</v>
      </c>
      <c r="AL45" s="388">
        <f t="shared" si="49"/>
        <v>0</v>
      </c>
      <c r="AM45" s="388">
        <f t="shared" si="49"/>
        <v>0</v>
      </c>
      <c r="AN45" s="388">
        <f t="shared" si="49"/>
        <v>0</v>
      </c>
      <c r="AO45" s="388">
        <f t="shared" si="49"/>
        <v>0</v>
      </c>
      <c r="AP45" s="388">
        <f t="shared" si="49"/>
        <v>0</v>
      </c>
      <c r="AQ45" s="28">
        <f t="shared" si="49"/>
        <v>0</v>
      </c>
      <c r="AR45" s="298">
        <f t="shared" si="49"/>
        <v>0</v>
      </c>
      <c r="AS45" s="301">
        <f t="shared" si="49"/>
        <v>0</v>
      </c>
      <c r="AT45" s="302">
        <f t="shared" si="49"/>
        <v>0</v>
      </c>
      <c r="AU45" s="298">
        <f t="shared" si="49"/>
        <v>0</v>
      </c>
      <c r="AV45" s="421">
        <f t="shared" si="49"/>
        <v>0</v>
      </c>
      <c r="AW45" s="28">
        <f t="shared" si="49"/>
        <v>0</v>
      </c>
      <c r="AX45" s="388">
        <f t="shared" si="49"/>
        <v>0</v>
      </c>
      <c r="AY45" s="388">
        <f t="shared" si="49"/>
        <v>0</v>
      </c>
      <c r="AZ45" s="388">
        <f t="shared" si="49"/>
        <v>0</v>
      </c>
      <c r="BA45" s="388">
        <f t="shared" si="50"/>
        <v>0</v>
      </c>
      <c r="BB45" s="388">
        <f t="shared" si="19"/>
        <v>0</v>
      </c>
      <c r="BC45" s="4431" t="str">
        <f t="shared" si="20"/>
        <v>Marynka</v>
      </c>
      <c r="BD45" s="4431"/>
      <c r="BE45" s="4431"/>
      <c r="BF45" s="4432"/>
      <c r="BG45" s="3292"/>
      <c r="BH45" s="363"/>
      <c r="BI45" s="363"/>
      <c r="BJ45" s="363"/>
      <c r="BK45" s="417"/>
      <c r="BL45" s="417"/>
      <c r="BM45" s="348"/>
      <c r="BN45" s="3493"/>
    </row>
    <row r="46" spans="1:66" s="342" customFormat="1" ht="15" customHeight="1">
      <c r="A46" s="4519"/>
      <c r="B46" s="44" t="s">
        <v>100</v>
      </c>
      <c r="C46" s="2153"/>
      <c r="D46" s="32"/>
      <c r="E46" s="2174" t="s">
        <v>41</v>
      </c>
      <c r="F46" s="2146"/>
      <c r="G46" s="3006" t="s">
        <v>101</v>
      </c>
      <c r="H46" s="3020" t="s">
        <v>121</v>
      </c>
      <c r="I46" s="2347">
        <v>6.8</v>
      </c>
      <c r="J46" s="3025"/>
      <c r="K46" s="2116"/>
      <c r="L46" s="2116"/>
      <c r="M46" s="2116"/>
      <c r="N46" s="2116"/>
      <c r="O46" s="2117"/>
      <c r="P46" s="3022">
        <f t="shared" si="16"/>
        <v>0</v>
      </c>
      <c r="Q46" s="2125">
        <f t="shared" si="16"/>
        <v>0</v>
      </c>
      <c r="R46" s="2125">
        <f t="shared" si="16"/>
        <v>0</v>
      </c>
      <c r="S46" s="2125">
        <f t="shared" si="16"/>
        <v>0</v>
      </c>
      <c r="T46" s="2125">
        <f t="shared" si="16"/>
        <v>0</v>
      </c>
      <c r="U46" s="2126">
        <f t="shared" si="16"/>
        <v>0</v>
      </c>
      <c r="V46" s="3023"/>
      <c r="W46" s="2127"/>
      <c r="X46" s="2116"/>
      <c r="Y46" s="2116"/>
      <c r="Z46" s="2116"/>
      <c r="AA46" s="2117"/>
      <c r="AB46" s="358"/>
      <c r="AC46" s="358"/>
      <c r="AD46" s="358"/>
      <c r="AE46" s="40" t="s">
        <v>112</v>
      </c>
      <c r="AF46" s="358"/>
      <c r="AG46" s="358"/>
      <c r="AH46" s="358"/>
      <c r="AI46" s="358"/>
      <c r="AJ46" s="395"/>
      <c r="AK46" s="388">
        <f t="shared" si="49"/>
        <v>0</v>
      </c>
      <c r="AL46" s="388">
        <f t="shared" si="49"/>
        <v>0</v>
      </c>
      <c r="AM46" s="388">
        <f t="shared" si="49"/>
        <v>0</v>
      </c>
      <c r="AN46" s="388">
        <f t="shared" si="49"/>
        <v>0</v>
      </c>
      <c r="AO46" s="388">
        <f t="shared" si="49"/>
        <v>0</v>
      </c>
      <c r="AP46" s="388">
        <f t="shared" si="49"/>
        <v>0</v>
      </c>
      <c r="AQ46" s="28">
        <f t="shared" si="49"/>
        <v>0</v>
      </c>
      <c r="AR46" s="298">
        <f t="shared" si="49"/>
        <v>0</v>
      </c>
      <c r="AS46" s="301">
        <f t="shared" si="49"/>
        <v>0</v>
      </c>
      <c r="AT46" s="302">
        <f t="shared" si="49"/>
        <v>0</v>
      </c>
      <c r="AU46" s="298">
        <f t="shared" si="49"/>
        <v>0</v>
      </c>
      <c r="AV46" s="421">
        <f t="shared" si="49"/>
        <v>0</v>
      </c>
      <c r="AW46" s="28">
        <f t="shared" si="49"/>
        <v>0</v>
      </c>
      <c r="AX46" s="388">
        <f t="shared" si="49"/>
        <v>0</v>
      </c>
      <c r="AY46" s="388">
        <f t="shared" si="49"/>
        <v>0</v>
      </c>
      <c r="AZ46" s="388">
        <f t="shared" si="49"/>
        <v>0</v>
      </c>
      <c r="BA46" s="388">
        <f t="shared" si="50"/>
        <v>0</v>
      </c>
      <c r="BB46" s="388">
        <f t="shared" si="19"/>
        <v>0</v>
      </c>
      <c r="BC46" s="4431" t="str">
        <f t="shared" si="20"/>
        <v>Minstrel Hops</v>
      </c>
      <c r="BD46" s="4431"/>
      <c r="BE46" s="4431"/>
      <c r="BF46" s="4432"/>
      <c r="BG46" s="864"/>
      <c r="BH46" s="4437" t="s">
        <v>123</v>
      </c>
      <c r="BI46" s="4437"/>
      <c r="BJ46" s="4437"/>
      <c r="BK46" s="4437"/>
      <c r="BL46" s="4437"/>
      <c r="BM46" s="348"/>
      <c r="BN46" s="3493"/>
    </row>
    <row r="47" spans="1:66" s="342" customFormat="1" ht="15" customHeight="1">
      <c r="A47" s="4519"/>
      <c r="B47" s="42" t="s">
        <v>113</v>
      </c>
      <c r="C47" s="2154" t="s">
        <v>72</v>
      </c>
      <c r="D47" s="1674" t="s">
        <v>73</v>
      </c>
      <c r="E47" s="2175" t="s">
        <v>114</v>
      </c>
      <c r="F47" s="2147" t="s">
        <v>74</v>
      </c>
      <c r="G47" s="3007" t="s">
        <v>103</v>
      </c>
      <c r="H47" s="3024" t="s">
        <v>122</v>
      </c>
      <c r="I47" s="2347">
        <v>5</v>
      </c>
      <c r="J47" s="3021"/>
      <c r="K47" s="2116"/>
      <c r="L47" s="2116"/>
      <c r="M47" s="2116"/>
      <c r="N47" s="2116"/>
      <c r="O47" s="2117"/>
      <c r="P47" s="3022">
        <f t="shared" si="16"/>
        <v>0</v>
      </c>
      <c r="Q47" s="2125">
        <f t="shared" si="16"/>
        <v>0</v>
      </c>
      <c r="R47" s="2125">
        <f t="shared" si="16"/>
        <v>0</v>
      </c>
      <c r="S47" s="2125">
        <f t="shared" si="16"/>
        <v>0</v>
      </c>
      <c r="T47" s="2125">
        <f t="shared" si="16"/>
        <v>0</v>
      </c>
      <c r="U47" s="2126">
        <f t="shared" si="16"/>
        <v>0</v>
      </c>
      <c r="V47" s="3023"/>
      <c r="W47" s="2127"/>
      <c r="X47" s="2116"/>
      <c r="Y47" s="2116"/>
      <c r="Z47" s="2116"/>
      <c r="AA47" s="2117"/>
      <c r="AB47" s="358"/>
      <c r="AC47" s="358"/>
      <c r="AD47" s="358"/>
      <c r="AE47" s="43" t="s">
        <v>116</v>
      </c>
      <c r="AF47" s="358"/>
      <c r="AG47" s="358"/>
      <c r="AH47" s="358"/>
      <c r="AI47" s="358"/>
      <c r="AJ47" s="395"/>
      <c r="AK47" s="388">
        <f t="shared" si="49"/>
        <v>0</v>
      </c>
      <c r="AL47" s="388">
        <f t="shared" si="49"/>
        <v>0</v>
      </c>
      <c r="AM47" s="388">
        <f t="shared" si="49"/>
        <v>0</v>
      </c>
      <c r="AN47" s="388">
        <f t="shared" si="49"/>
        <v>0</v>
      </c>
      <c r="AO47" s="388">
        <f t="shared" si="49"/>
        <v>0</v>
      </c>
      <c r="AP47" s="388">
        <f t="shared" si="49"/>
        <v>0</v>
      </c>
      <c r="AQ47" s="28">
        <f t="shared" si="49"/>
        <v>0</v>
      </c>
      <c r="AR47" s="298">
        <f t="shared" si="49"/>
        <v>0</v>
      </c>
      <c r="AS47" s="301">
        <f t="shared" si="49"/>
        <v>0</v>
      </c>
      <c r="AT47" s="302">
        <f t="shared" si="49"/>
        <v>0</v>
      </c>
      <c r="AU47" s="298">
        <f t="shared" si="49"/>
        <v>0</v>
      </c>
      <c r="AV47" s="421">
        <f t="shared" si="49"/>
        <v>0</v>
      </c>
      <c r="AW47" s="28">
        <f t="shared" si="49"/>
        <v>0</v>
      </c>
      <c r="AX47" s="388">
        <f t="shared" si="49"/>
        <v>0</v>
      </c>
      <c r="AY47" s="388">
        <f t="shared" si="49"/>
        <v>0</v>
      </c>
      <c r="AZ47" s="388">
        <f t="shared" si="49"/>
        <v>0</v>
      </c>
      <c r="BA47" s="388">
        <f t="shared" si="50"/>
        <v>0</v>
      </c>
      <c r="BB47" s="388">
        <f t="shared" si="19"/>
        <v>0</v>
      </c>
      <c r="BC47" s="4431" t="str">
        <f t="shared" si="20"/>
        <v>Mount Hood</v>
      </c>
      <c r="BD47" s="4431"/>
      <c r="BE47" s="4431"/>
      <c r="BF47" s="4432"/>
      <c r="BG47" s="348"/>
      <c r="BH47" s="996" t="s">
        <v>61</v>
      </c>
      <c r="BI47" s="2497" t="s">
        <v>865</v>
      </c>
      <c r="BJ47" s="4640" t="s">
        <v>1843</v>
      </c>
      <c r="BK47" s="4641"/>
      <c r="BL47" s="3503" t="s">
        <v>676</v>
      </c>
      <c r="BM47" s="348"/>
      <c r="BN47" s="3493"/>
    </row>
    <row r="48" spans="1:66" s="342" customFormat="1" ht="15" customHeight="1">
      <c r="A48" s="4519"/>
      <c r="B48" s="45" t="str">
        <f>B145</f>
        <v>Light</v>
      </c>
      <c r="C48" s="2158"/>
      <c r="D48" s="45" t="s">
        <v>40</v>
      </c>
      <c r="E48" s="2176">
        <f>0.01*AE48*C48/$C$4</f>
        <v>0</v>
      </c>
      <c r="F48" s="2149">
        <f>100*IF(C48=0,0,C48/$F$83)</f>
        <v>0</v>
      </c>
      <c r="G48" s="2143">
        <f>IF(AF48=0,0,AF48*100/$AF$82)</f>
        <v>0</v>
      </c>
      <c r="H48" s="3024" t="s">
        <v>124</v>
      </c>
      <c r="I48" s="2347">
        <v>8</v>
      </c>
      <c r="J48" s="3021"/>
      <c r="K48" s="2116"/>
      <c r="L48" s="2116"/>
      <c r="M48" s="2116"/>
      <c r="N48" s="2116"/>
      <c r="O48" s="2117"/>
      <c r="P48" s="3022">
        <f t="shared" si="16"/>
        <v>0</v>
      </c>
      <c r="Q48" s="2125">
        <f t="shared" si="16"/>
        <v>0</v>
      </c>
      <c r="R48" s="2125">
        <f t="shared" si="16"/>
        <v>0</v>
      </c>
      <c r="S48" s="2125">
        <f t="shared" si="16"/>
        <v>0</v>
      </c>
      <c r="T48" s="2125">
        <f t="shared" si="16"/>
        <v>0</v>
      </c>
      <c r="U48" s="2126">
        <f t="shared" si="16"/>
        <v>0</v>
      </c>
      <c r="V48" s="3023"/>
      <c r="W48" s="2127"/>
      <c r="X48" s="2116"/>
      <c r="Y48" s="2116"/>
      <c r="Z48" s="2116"/>
      <c r="AA48" s="2117"/>
      <c r="AB48" s="414">
        <f>C145</f>
        <v>365</v>
      </c>
      <c r="AC48" s="25">
        <f>C$87/100</f>
        <v>0.75</v>
      </c>
      <c r="AD48" s="388">
        <f>D145</f>
        <v>10</v>
      </c>
      <c r="AE48" s="40">
        <f>E145</f>
        <v>36</v>
      </c>
      <c r="AF48" s="394">
        <f>0.001*C48*AB48</f>
        <v>0</v>
      </c>
      <c r="AG48" s="388">
        <f>AF48*AC48</f>
        <v>0</v>
      </c>
      <c r="AH48" s="388">
        <f>0.01*C48*AD48</f>
        <v>0</v>
      </c>
      <c r="AI48" s="388">
        <f>0.01*C48*AE48</f>
        <v>0</v>
      </c>
      <c r="AJ48" s="33"/>
      <c r="AK48" s="388">
        <f t="shared" si="49"/>
        <v>0</v>
      </c>
      <c r="AL48" s="388">
        <f t="shared" si="49"/>
        <v>0</v>
      </c>
      <c r="AM48" s="388">
        <f t="shared" si="49"/>
        <v>0</v>
      </c>
      <c r="AN48" s="388">
        <f t="shared" si="49"/>
        <v>0</v>
      </c>
      <c r="AO48" s="388">
        <f t="shared" si="49"/>
        <v>0</v>
      </c>
      <c r="AP48" s="388">
        <f t="shared" si="49"/>
        <v>0</v>
      </c>
      <c r="AQ48" s="28">
        <f t="shared" si="49"/>
        <v>0</v>
      </c>
      <c r="AR48" s="298">
        <f t="shared" si="49"/>
        <v>0</v>
      </c>
      <c r="AS48" s="301">
        <f t="shared" si="49"/>
        <v>0</v>
      </c>
      <c r="AT48" s="302">
        <f t="shared" si="49"/>
        <v>0</v>
      </c>
      <c r="AU48" s="298">
        <f t="shared" si="49"/>
        <v>0</v>
      </c>
      <c r="AV48" s="421">
        <f t="shared" si="49"/>
        <v>0</v>
      </c>
      <c r="AW48" s="28">
        <f t="shared" si="49"/>
        <v>0</v>
      </c>
      <c r="AX48" s="388">
        <f t="shared" si="49"/>
        <v>0</v>
      </c>
      <c r="AY48" s="388">
        <f t="shared" si="49"/>
        <v>0</v>
      </c>
      <c r="AZ48" s="388">
        <f t="shared" si="49"/>
        <v>0</v>
      </c>
      <c r="BA48" s="388">
        <f t="shared" si="50"/>
        <v>0</v>
      </c>
      <c r="BB48" s="388">
        <f t="shared" si="19"/>
        <v>0</v>
      </c>
      <c r="BC48" s="4431" t="str">
        <f t="shared" si="20"/>
        <v>Northdown</v>
      </c>
      <c r="BD48" s="4431"/>
      <c r="BE48" s="4431"/>
      <c r="BF48" s="4432"/>
      <c r="BG48" s="348"/>
      <c r="BH48" s="974">
        <v>1</v>
      </c>
      <c r="BI48" s="2498">
        <f t="shared" ref="BI48:BI54" si="51">16*BL48</f>
        <v>3.5273368606701938E-2</v>
      </c>
      <c r="BJ48" s="4642" t="str">
        <f t="shared" ref="BJ48:BJ54" si="52">INT(BI48/16)&amp;"  lb   "&amp;FIXED(BI48-16*INT(BI48/16),2)&amp;"  oz"</f>
        <v>0  lb   0.04  oz</v>
      </c>
      <c r="BK48" s="4643"/>
      <c r="BL48" s="3284">
        <f t="shared" ref="BL48:BL54" si="53">BH48/(1000*0.4536)</f>
        <v>2.2045855379188711E-3</v>
      </c>
      <c r="BM48" s="348"/>
      <c r="BN48" s="3493"/>
    </row>
    <row r="49" spans="1:66" s="342" customFormat="1" ht="15" customHeight="1">
      <c r="A49" s="4520"/>
      <c r="B49" s="45" t="str">
        <f>B146</f>
        <v>OTHER</v>
      </c>
      <c r="C49" s="2158"/>
      <c r="D49" s="45" t="s">
        <v>40</v>
      </c>
      <c r="E49" s="2176">
        <f>0.01*AE49*C49/$C$4</f>
        <v>0</v>
      </c>
      <c r="F49" s="2149">
        <f>100*IF(C49=0,0,C49/$F$83)</f>
        <v>0</v>
      </c>
      <c r="G49" s="2143">
        <f>IF(AF49=0,0,AF49*100/$AF$82)</f>
        <v>0</v>
      </c>
      <c r="H49" s="3024" t="s">
        <v>127</v>
      </c>
      <c r="I49" s="2347">
        <v>7.5</v>
      </c>
      <c r="J49" s="3021"/>
      <c r="K49" s="2116"/>
      <c r="L49" s="2116"/>
      <c r="M49" s="2116"/>
      <c r="N49" s="2116"/>
      <c r="O49" s="2117"/>
      <c r="P49" s="3022">
        <f t="shared" si="16"/>
        <v>0</v>
      </c>
      <c r="Q49" s="2125">
        <f t="shared" si="16"/>
        <v>0</v>
      </c>
      <c r="R49" s="2125">
        <f t="shared" si="16"/>
        <v>0</v>
      </c>
      <c r="S49" s="2125">
        <f t="shared" si="16"/>
        <v>0</v>
      </c>
      <c r="T49" s="2125">
        <f t="shared" si="16"/>
        <v>0</v>
      </c>
      <c r="U49" s="2126">
        <f t="shared" si="16"/>
        <v>0</v>
      </c>
      <c r="V49" s="3023"/>
      <c r="W49" s="2127"/>
      <c r="X49" s="2116"/>
      <c r="Y49" s="2116"/>
      <c r="Z49" s="2116"/>
      <c r="AA49" s="2117"/>
      <c r="AB49" s="414">
        <f>C146</f>
        <v>0</v>
      </c>
      <c r="AC49" s="25">
        <f>C$87/100</f>
        <v>0.75</v>
      </c>
      <c r="AD49" s="388">
        <f>D146</f>
        <v>0</v>
      </c>
      <c r="AE49" s="40">
        <f>E146</f>
        <v>0</v>
      </c>
      <c r="AF49" s="394">
        <f>0.001*C49*AB49</f>
        <v>0</v>
      </c>
      <c r="AG49" s="388">
        <f>AF49*AC49</f>
        <v>0</v>
      </c>
      <c r="AH49" s="388">
        <f>0.01*C49*AD49</f>
        <v>0</v>
      </c>
      <c r="AI49" s="388">
        <f>0.01*C49*AE49</f>
        <v>0</v>
      </c>
      <c r="AJ49" s="33"/>
      <c r="AK49" s="388">
        <f t="shared" si="49"/>
        <v>0</v>
      </c>
      <c r="AL49" s="388">
        <f t="shared" si="49"/>
        <v>0</v>
      </c>
      <c r="AM49" s="388">
        <f t="shared" si="49"/>
        <v>0</v>
      </c>
      <c r="AN49" s="388">
        <f t="shared" si="49"/>
        <v>0</v>
      </c>
      <c r="AO49" s="388">
        <f t="shared" si="49"/>
        <v>0</v>
      </c>
      <c r="AP49" s="388">
        <f t="shared" si="49"/>
        <v>0</v>
      </c>
      <c r="AQ49" s="28">
        <f t="shared" si="49"/>
        <v>0</v>
      </c>
      <c r="AR49" s="298">
        <f t="shared" si="49"/>
        <v>0</v>
      </c>
      <c r="AS49" s="301">
        <f t="shared" si="49"/>
        <v>0</v>
      </c>
      <c r="AT49" s="302">
        <f t="shared" si="49"/>
        <v>0</v>
      </c>
      <c r="AU49" s="298">
        <f t="shared" si="49"/>
        <v>0</v>
      </c>
      <c r="AV49" s="421">
        <f t="shared" si="49"/>
        <v>0</v>
      </c>
      <c r="AW49" s="28">
        <f t="shared" si="49"/>
        <v>0</v>
      </c>
      <c r="AX49" s="388">
        <f t="shared" si="49"/>
        <v>0</v>
      </c>
      <c r="AY49" s="388">
        <f t="shared" si="49"/>
        <v>0</v>
      </c>
      <c r="AZ49" s="388">
        <f t="shared" si="49"/>
        <v>0</v>
      </c>
      <c r="BA49" s="388">
        <f t="shared" si="50"/>
        <v>0</v>
      </c>
      <c r="BB49" s="388">
        <f t="shared" si="19"/>
        <v>0</v>
      </c>
      <c r="BC49" s="4431" t="str">
        <f t="shared" si="20"/>
        <v>Northern Brewer</v>
      </c>
      <c r="BD49" s="4431"/>
      <c r="BE49" s="4431"/>
      <c r="BF49" s="4432"/>
      <c r="BG49" s="348"/>
      <c r="BH49" s="974">
        <v>35</v>
      </c>
      <c r="BI49" s="2498">
        <f t="shared" si="51"/>
        <v>1.2345679012345678</v>
      </c>
      <c r="BJ49" s="4642" t="str">
        <f t="shared" si="52"/>
        <v>0  lb   1.23  oz</v>
      </c>
      <c r="BK49" s="4643"/>
      <c r="BL49" s="3284">
        <f t="shared" si="53"/>
        <v>7.716049382716049E-2</v>
      </c>
      <c r="BM49" s="348"/>
      <c r="BN49" s="3493"/>
    </row>
    <row r="50" spans="1:66" s="342" customFormat="1" ht="15" customHeight="1">
      <c r="A50" s="4547" t="s">
        <v>128</v>
      </c>
      <c r="B50" s="46" t="s">
        <v>129</v>
      </c>
      <c r="C50" s="2153"/>
      <c r="D50" s="32"/>
      <c r="E50" s="4548" t="s">
        <v>1773</v>
      </c>
      <c r="F50" s="2146"/>
      <c r="G50" s="3006" t="s">
        <v>101</v>
      </c>
      <c r="H50" s="3024" t="s">
        <v>130</v>
      </c>
      <c r="I50" s="2347">
        <v>8</v>
      </c>
      <c r="J50" s="3021"/>
      <c r="K50" s="2116"/>
      <c r="L50" s="2116"/>
      <c r="M50" s="2116"/>
      <c r="N50" s="2116"/>
      <c r="O50" s="2117"/>
      <c r="P50" s="3022">
        <f t="shared" ref="P50:U65" si="54">J50</f>
        <v>0</v>
      </c>
      <c r="Q50" s="2125">
        <f t="shared" si="54"/>
        <v>0</v>
      </c>
      <c r="R50" s="2125">
        <f t="shared" si="54"/>
        <v>0</v>
      </c>
      <c r="S50" s="2125">
        <f t="shared" si="54"/>
        <v>0</v>
      </c>
      <c r="T50" s="2125">
        <f t="shared" si="54"/>
        <v>0</v>
      </c>
      <c r="U50" s="2126">
        <f t="shared" si="54"/>
        <v>0</v>
      </c>
      <c r="V50" s="3023"/>
      <c r="W50" s="2127"/>
      <c r="X50" s="2116"/>
      <c r="Y50" s="2116"/>
      <c r="Z50" s="2116"/>
      <c r="AA50" s="2117"/>
      <c r="AB50" s="388"/>
      <c r="AC50" s="39"/>
      <c r="AD50" s="388"/>
      <c r="AE50" s="388"/>
      <c r="AF50" s="394"/>
      <c r="AG50" s="388"/>
      <c r="AH50" s="388"/>
      <c r="AI50" s="388"/>
      <c r="AJ50" s="33"/>
      <c r="AK50" s="388">
        <f t="shared" si="49"/>
        <v>0</v>
      </c>
      <c r="AL50" s="388">
        <f t="shared" si="49"/>
        <v>0</v>
      </c>
      <c r="AM50" s="388">
        <f t="shared" si="49"/>
        <v>0</v>
      </c>
      <c r="AN50" s="388">
        <f t="shared" si="49"/>
        <v>0</v>
      </c>
      <c r="AO50" s="388">
        <f t="shared" si="49"/>
        <v>0</v>
      </c>
      <c r="AP50" s="388">
        <f t="shared" si="49"/>
        <v>0</v>
      </c>
      <c r="AQ50" s="28">
        <f t="shared" si="49"/>
        <v>0</v>
      </c>
      <c r="AR50" s="298">
        <f t="shared" si="49"/>
        <v>0</v>
      </c>
      <c r="AS50" s="301">
        <f t="shared" si="49"/>
        <v>0</v>
      </c>
      <c r="AT50" s="302">
        <f t="shared" si="49"/>
        <v>0</v>
      </c>
      <c r="AU50" s="298">
        <f t="shared" si="49"/>
        <v>0</v>
      </c>
      <c r="AV50" s="421">
        <f t="shared" si="49"/>
        <v>0</v>
      </c>
      <c r="AW50" s="28">
        <f t="shared" si="49"/>
        <v>0</v>
      </c>
      <c r="AX50" s="388">
        <f t="shared" si="49"/>
        <v>0</v>
      </c>
      <c r="AY50" s="388">
        <f t="shared" si="49"/>
        <v>0</v>
      </c>
      <c r="AZ50" s="388">
        <f t="shared" si="49"/>
        <v>0</v>
      </c>
      <c r="BA50" s="388">
        <f t="shared" si="50"/>
        <v>0</v>
      </c>
      <c r="BB50" s="388">
        <f t="shared" si="19"/>
        <v>0</v>
      </c>
      <c r="BC50" s="4431" t="str">
        <f t="shared" si="20"/>
        <v>Perle</v>
      </c>
      <c r="BD50" s="4431"/>
      <c r="BE50" s="4431"/>
      <c r="BF50" s="4432"/>
      <c r="BG50" s="348"/>
      <c r="BH50" s="3804">
        <v>50</v>
      </c>
      <c r="BI50" s="2498">
        <f t="shared" si="51"/>
        <v>1.7636684303350969</v>
      </c>
      <c r="BJ50" s="4642" t="str">
        <f t="shared" si="52"/>
        <v>0  lb   1.76  oz</v>
      </c>
      <c r="BK50" s="4643"/>
      <c r="BL50" s="3213">
        <f t="shared" si="53"/>
        <v>0.11022927689594356</v>
      </c>
      <c r="BM50" s="348"/>
      <c r="BN50" s="3493"/>
    </row>
    <row r="51" spans="1:66" s="342" customFormat="1" ht="15" customHeight="1">
      <c r="A51" s="4519"/>
      <c r="B51" s="42"/>
      <c r="C51" s="2154" t="s">
        <v>72</v>
      </c>
      <c r="D51" s="1674" t="s">
        <v>73</v>
      </c>
      <c r="E51" s="4549"/>
      <c r="F51" s="2147" t="s">
        <v>74</v>
      </c>
      <c r="G51" s="3007" t="s">
        <v>103</v>
      </c>
      <c r="H51" s="3028" t="s">
        <v>131</v>
      </c>
      <c r="I51" s="2347">
        <v>10</v>
      </c>
      <c r="J51" s="3021"/>
      <c r="K51" s="2116"/>
      <c r="L51" s="2116"/>
      <c r="M51" s="2116"/>
      <c r="N51" s="2116"/>
      <c r="O51" s="2117"/>
      <c r="P51" s="3022">
        <f t="shared" si="54"/>
        <v>0</v>
      </c>
      <c r="Q51" s="2125">
        <f t="shared" si="54"/>
        <v>0</v>
      </c>
      <c r="R51" s="2125">
        <f t="shared" si="54"/>
        <v>0</v>
      </c>
      <c r="S51" s="2125">
        <f t="shared" si="54"/>
        <v>0</v>
      </c>
      <c r="T51" s="2125">
        <f t="shared" si="54"/>
        <v>0</v>
      </c>
      <c r="U51" s="2126">
        <f t="shared" si="54"/>
        <v>0</v>
      </c>
      <c r="V51" s="3023"/>
      <c r="W51" s="2127"/>
      <c r="X51" s="2116"/>
      <c r="Y51" s="2116"/>
      <c r="Z51" s="2116"/>
      <c r="AA51" s="2117"/>
      <c r="AB51" s="388"/>
      <c r="AC51" s="39"/>
      <c r="AD51" s="388"/>
      <c r="AE51" s="388"/>
      <c r="AF51" s="394"/>
      <c r="AG51" s="388"/>
      <c r="AH51" s="388"/>
      <c r="AI51" s="388"/>
      <c r="AJ51" s="33"/>
      <c r="AK51" s="388">
        <f t="shared" si="49"/>
        <v>0</v>
      </c>
      <c r="AL51" s="388">
        <f t="shared" si="49"/>
        <v>0</v>
      </c>
      <c r="AM51" s="388">
        <f t="shared" si="49"/>
        <v>0</v>
      </c>
      <c r="AN51" s="388">
        <f t="shared" si="49"/>
        <v>0</v>
      </c>
      <c r="AO51" s="388">
        <f t="shared" si="49"/>
        <v>0</v>
      </c>
      <c r="AP51" s="388">
        <f t="shared" si="49"/>
        <v>0</v>
      </c>
      <c r="AQ51" s="28">
        <f t="shared" si="49"/>
        <v>0</v>
      </c>
      <c r="AR51" s="298">
        <f t="shared" si="49"/>
        <v>0</v>
      </c>
      <c r="AS51" s="301">
        <f t="shared" si="49"/>
        <v>0</v>
      </c>
      <c r="AT51" s="302">
        <f t="shared" si="49"/>
        <v>0</v>
      </c>
      <c r="AU51" s="298">
        <f t="shared" si="49"/>
        <v>0</v>
      </c>
      <c r="AV51" s="421">
        <f t="shared" si="49"/>
        <v>0</v>
      </c>
      <c r="AW51" s="28">
        <f t="shared" si="49"/>
        <v>0</v>
      </c>
      <c r="AX51" s="388">
        <f t="shared" si="49"/>
        <v>0</v>
      </c>
      <c r="AY51" s="388">
        <f t="shared" si="49"/>
        <v>0</v>
      </c>
      <c r="AZ51" s="388">
        <f t="shared" si="49"/>
        <v>0</v>
      </c>
      <c r="BA51" s="388">
        <f t="shared" si="50"/>
        <v>0</v>
      </c>
      <c r="BB51" s="388">
        <f t="shared" si="19"/>
        <v>0</v>
      </c>
      <c r="BC51" s="4431" t="str">
        <f t="shared" si="20"/>
        <v>Phoenix</v>
      </c>
      <c r="BD51" s="4431"/>
      <c r="BE51" s="4431"/>
      <c r="BF51" s="4432"/>
      <c r="BG51" s="348"/>
      <c r="BH51" s="3804">
        <v>100</v>
      </c>
      <c r="BI51" s="2498">
        <f t="shared" si="51"/>
        <v>3.5273368606701938</v>
      </c>
      <c r="BJ51" s="4642" t="str">
        <f t="shared" si="52"/>
        <v>0  lb   3.53  oz</v>
      </c>
      <c r="BK51" s="4643"/>
      <c r="BL51" s="3213">
        <f t="shared" si="53"/>
        <v>0.22045855379188711</v>
      </c>
      <c r="BM51" s="348"/>
      <c r="BN51" s="3493"/>
    </row>
    <row r="52" spans="1:66" s="342" customFormat="1" ht="15" customHeight="1">
      <c r="A52" s="4519"/>
      <c r="B52" s="2744" t="str">
        <f t="shared" ref="B52:B62" si="55">B149</f>
        <v>Black</v>
      </c>
      <c r="C52" s="2159"/>
      <c r="D52" s="47" t="s">
        <v>40</v>
      </c>
      <c r="E52" s="3844"/>
      <c r="F52" s="2143">
        <f>100*IF(C52=0,0,C52/$F$83)</f>
        <v>0</v>
      </c>
      <c r="G52" s="2143">
        <f t="shared" ref="G52:G62" si="56">IF(AF52=0,0,AF52*100/$AF$82)</f>
        <v>0</v>
      </c>
      <c r="H52" s="3020" t="s">
        <v>132</v>
      </c>
      <c r="I52" s="2347">
        <v>11</v>
      </c>
      <c r="J52" s="3021"/>
      <c r="K52" s="2116"/>
      <c r="L52" s="2116"/>
      <c r="M52" s="2116"/>
      <c r="N52" s="2116"/>
      <c r="O52" s="2117"/>
      <c r="P52" s="3022">
        <f t="shared" si="54"/>
        <v>0</v>
      </c>
      <c r="Q52" s="2125">
        <f t="shared" si="54"/>
        <v>0</v>
      </c>
      <c r="R52" s="2125">
        <f t="shared" si="54"/>
        <v>0</v>
      </c>
      <c r="S52" s="2125">
        <f t="shared" si="54"/>
        <v>0</v>
      </c>
      <c r="T52" s="2125">
        <f t="shared" si="54"/>
        <v>0</v>
      </c>
      <c r="U52" s="2126">
        <f t="shared" si="54"/>
        <v>0</v>
      </c>
      <c r="V52" s="3023"/>
      <c r="W52" s="2127"/>
      <c r="X52" s="2116"/>
      <c r="Y52" s="2116"/>
      <c r="Z52" s="2116"/>
      <c r="AA52" s="2117"/>
      <c r="AB52" s="414">
        <f t="shared" ref="AB52" si="57">C149</f>
        <v>198.75</v>
      </c>
      <c r="AC52" s="25">
        <f t="shared" ref="AC52" si="58">C$87/100</f>
        <v>0.75</v>
      </c>
      <c r="AD52" s="414">
        <f t="shared" ref="AD52" si="59">D149</f>
        <v>908.8</v>
      </c>
      <c r="AE52" s="414"/>
      <c r="AF52" s="394">
        <f t="shared" ref="AF52" si="60">0.001*C52*AB52</f>
        <v>0</v>
      </c>
      <c r="AG52" s="388">
        <f t="shared" ref="AG52" si="61">AF52*AC52</f>
        <v>0</v>
      </c>
      <c r="AH52" s="388">
        <f t="shared" ref="AH52" si="62">0.01*C52*AD52</f>
        <v>0</v>
      </c>
      <c r="AI52" s="388"/>
      <c r="AJ52" s="395"/>
      <c r="AK52" s="388">
        <f t="shared" si="49"/>
        <v>0</v>
      </c>
      <c r="AL52" s="388">
        <f t="shared" si="49"/>
        <v>0</v>
      </c>
      <c r="AM52" s="388">
        <f t="shared" si="49"/>
        <v>0</v>
      </c>
      <c r="AN52" s="388">
        <f t="shared" si="49"/>
        <v>0</v>
      </c>
      <c r="AO52" s="388">
        <f t="shared" si="49"/>
        <v>0</v>
      </c>
      <c r="AP52" s="388">
        <f t="shared" si="49"/>
        <v>0</v>
      </c>
      <c r="AQ52" s="28">
        <f t="shared" si="49"/>
        <v>0</v>
      </c>
      <c r="AR52" s="298">
        <f t="shared" si="49"/>
        <v>0</v>
      </c>
      <c r="AS52" s="301">
        <f t="shared" si="49"/>
        <v>0</v>
      </c>
      <c r="AT52" s="302">
        <f t="shared" si="49"/>
        <v>0</v>
      </c>
      <c r="AU52" s="298">
        <f t="shared" si="49"/>
        <v>0</v>
      </c>
      <c r="AV52" s="421">
        <f t="shared" si="49"/>
        <v>0</v>
      </c>
      <c r="AW52" s="28">
        <f t="shared" si="49"/>
        <v>0</v>
      </c>
      <c r="AX52" s="388">
        <f t="shared" si="49"/>
        <v>0</v>
      </c>
      <c r="AY52" s="388">
        <f t="shared" si="49"/>
        <v>0</v>
      </c>
      <c r="AZ52" s="388">
        <f t="shared" si="49"/>
        <v>0</v>
      </c>
      <c r="BA52" s="388">
        <f t="shared" si="50"/>
        <v>0</v>
      </c>
      <c r="BB52" s="388">
        <f t="shared" si="19"/>
        <v>0</v>
      </c>
      <c r="BC52" s="4431" t="str">
        <f t="shared" si="20"/>
        <v>Pilgrim</v>
      </c>
      <c r="BD52" s="4431"/>
      <c r="BE52" s="4431"/>
      <c r="BF52" s="4432"/>
      <c r="BG52" s="348"/>
      <c r="BH52" s="3804">
        <v>500</v>
      </c>
      <c r="BI52" s="2498">
        <f t="shared" si="51"/>
        <v>17.636684303350968</v>
      </c>
      <c r="BJ52" s="4642" t="str">
        <f t="shared" si="52"/>
        <v>1  lb   1.64  oz</v>
      </c>
      <c r="BK52" s="4643"/>
      <c r="BL52" s="3213">
        <f t="shared" si="53"/>
        <v>1.1022927689594355</v>
      </c>
      <c r="BM52" s="348"/>
      <c r="BN52" s="3493"/>
    </row>
    <row r="53" spans="1:66" s="342" customFormat="1" ht="15" customHeight="1">
      <c r="A53" s="4519"/>
      <c r="B53" s="2744" t="str">
        <f t="shared" si="55"/>
        <v>Caramalt</v>
      </c>
      <c r="C53" s="2159"/>
      <c r="D53" s="47" t="s">
        <v>40</v>
      </c>
      <c r="E53" s="3845"/>
      <c r="F53" s="2143">
        <f t="shared" ref="F53:F62" si="63">100*IF(C53=0,0,C53/$F$83)</f>
        <v>0</v>
      </c>
      <c r="G53" s="2143">
        <f t="shared" si="56"/>
        <v>0</v>
      </c>
      <c r="H53" s="3024" t="s">
        <v>133</v>
      </c>
      <c r="I53" s="2347">
        <v>8</v>
      </c>
      <c r="J53" s="3021"/>
      <c r="K53" s="2116"/>
      <c r="L53" s="2116"/>
      <c r="M53" s="2116"/>
      <c r="N53" s="2116"/>
      <c r="O53" s="2117"/>
      <c r="P53" s="3022">
        <f t="shared" si="54"/>
        <v>0</v>
      </c>
      <c r="Q53" s="2125">
        <f t="shared" si="54"/>
        <v>0</v>
      </c>
      <c r="R53" s="2125">
        <f t="shared" si="54"/>
        <v>0</v>
      </c>
      <c r="S53" s="2125">
        <f t="shared" si="54"/>
        <v>0</v>
      </c>
      <c r="T53" s="2125">
        <f t="shared" si="54"/>
        <v>0</v>
      </c>
      <c r="U53" s="2126">
        <f t="shared" si="54"/>
        <v>0</v>
      </c>
      <c r="V53" s="3023"/>
      <c r="W53" s="2127"/>
      <c r="X53" s="2116"/>
      <c r="Y53" s="2116"/>
      <c r="Z53" s="2116"/>
      <c r="AA53" s="2117"/>
      <c r="AB53" s="414">
        <f t="shared" ref="AB53:AB62" si="64">C150</f>
        <v>198.75</v>
      </c>
      <c r="AC53" s="25">
        <f t="shared" ref="AC53:AC62" si="65">C$87/100</f>
        <v>0.75</v>
      </c>
      <c r="AD53" s="414">
        <f t="shared" ref="AD53:AD62" si="66">D150</f>
        <v>18.5</v>
      </c>
      <c r="AE53" s="414"/>
      <c r="AF53" s="394">
        <f t="shared" ref="AF53:AF62" si="67">0.001*C53*AB53</f>
        <v>0</v>
      </c>
      <c r="AG53" s="388">
        <f t="shared" ref="AG53:AG62" si="68">AF53*AC53</f>
        <v>0</v>
      </c>
      <c r="AH53" s="388">
        <f t="shared" ref="AH53:AH62" si="69">0.01*C53*AD53</f>
        <v>0</v>
      </c>
      <c r="AI53" s="388"/>
      <c r="AJ53" s="395"/>
      <c r="AK53" s="388">
        <f t="shared" si="49"/>
        <v>0</v>
      </c>
      <c r="AL53" s="388">
        <f t="shared" si="49"/>
        <v>0</v>
      </c>
      <c r="AM53" s="388">
        <f t="shared" si="49"/>
        <v>0</v>
      </c>
      <c r="AN53" s="388">
        <f t="shared" si="49"/>
        <v>0</v>
      </c>
      <c r="AO53" s="388">
        <f t="shared" si="49"/>
        <v>0</v>
      </c>
      <c r="AP53" s="388">
        <f t="shared" si="49"/>
        <v>0</v>
      </c>
      <c r="AQ53" s="28">
        <f t="shared" si="49"/>
        <v>0</v>
      </c>
      <c r="AR53" s="298">
        <f t="shared" si="49"/>
        <v>0</v>
      </c>
      <c r="AS53" s="301">
        <f t="shared" si="49"/>
        <v>0</v>
      </c>
      <c r="AT53" s="302">
        <f t="shared" si="49"/>
        <v>0</v>
      </c>
      <c r="AU53" s="298">
        <f t="shared" si="49"/>
        <v>0</v>
      </c>
      <c r="AV53" s="421">
        <f t="shared" si="49"/>
        <v>0</v>
      </c>
      <c r="AW53" s="28">
        <f t="shared" si="49"/>
        <v>0</v>
      </c>
      <c r="AX53" s="388">
        <f t="shared" si="49"/>
        <v>0</v>
      </c>
      <c r="AY53" s="388">
        <f t="shared" si="49"/>
        <v>0</v>
      </c>
      <c r="AZ53" s="388">
        <f t="shared" si="49"/>
        <v>0</v>
      </c>
      <c r="BA53" s="388">
        <f t="shared" si="50"/>
        <v>0</v>
      </c>
      <c r="BB53" s="388">
        <f t="shared" si="19"/>
        <v>0</v>
      </c>
      <c r="BC53" s="4431" t="str">
        <f t="shared" si="20"/>
        <v>Pioneer</v>
      </c>
      <c r="BD53" s="4431"/>
      <c r="BE53" s="4431"/>
      <c r="BF53" s="4432"/>
      <c r="BG53" s="348"/>
      <c r="BH53" s="3804">
        <v>1000</v>
      </c>
      <c r="BI53" s="2498">
        <f t="shared" si="51"/>
        <v>35.273368606701936</v>
      </c>
      <c r="BJ53" s="4642" t="str">
        <f t="shared" si="52"/>
        <v>2  lb   3.27  oz</v>
      </c>
      <c r="BK53" s="4643"/>
      <c r="BL53" s="3213">
        <f t="shared" si="53"/>
        <v>2.204585537918871</v>
      </c>
      <c r="BM53" s="348"/>
      <c r="BN53" s="3493"/>
    </row>
    <row r="54" spans="1:66" s="342" customFormat="1" ht="15" customHeight="1">
      <c r="A54" s="4519"/>
      <c r="B54" s="2744" t="str">
        <f t="shared" si="55"/>
        <v>Caramalt (pale)</v>
      </c>
      <c r="C54" s="2159"/>
      <c r="D54" s="47" t="s">
        <v>40</v>
      </c>
      <c r="E54" s="3845"/>
      <c r="F54" s="2143">
        <f t="shared" si="63"/>
        <v>0</v>
      </c>
      <c r="G54" s="2143">
        <f t="shared" si="56"/>
        <v>0</v>
      </c>
      <c r="H54" s="3024" t="s">
        <v>134</v>
      </c>
      <c r="I54" s="2347">
        <v>10</v>
      </c>
      <c r="J54" s="3021"/>
      <c r="K54" s="2116"/>
      <c r="L54" s="2116"/>
      <c r="M54" s="2116"/>
      <c r="N54" s="2116"/>
      <c r="O54" s="2117"/>
      <c r="P54" s="3022">
        <f t="shared" si="54"/>
        <v>0</v>
      </c>
      <c r="Q54" s="2125">
        <f t="shared" si="54"/>
        <v>0</v>
      </c>
      <c r="R54" s="2125">
        <f t="shared" si="54"/>
        <v>0</v>
      </c>
      <c r="S54" s="2125">
        <f t="shared" si="54"/>
        <v>0</v>
      </c>
      <c r="T54" s="2125">
        <f t="shared" si="54"/>
        <v>0</v>
      </c>
      <c r="U54" s="2126">
        <f t="shared" si="54"/>
        <v>0</v>
      </c>
      <c r="V54" s="3023"/>
      <c r="W54" s="2127"/>
      <c r="X54" s="2116"/>
      <c r="Y54" s="2116"/>
      <c r="Z54" s="2116"/>
      <c r="AA54" s="2117"/>
      <c r="AB54" s="414">
        <f t="shared" si="64"/>
        <v>198.75</v>
      </c>
      <c r="AC54" s="25">
        <f t="shared" si="65"/>
        <v>0.75</v>
      </c>
      <c r="AD54" s="414">
        <f t="shared" si="66"/>
        <v>8.8800000000000008</v>
      </c>
      <c r="AE54" s="414"/>
      <c r="AF54" s="394">
        <f t="shared" si="67"/>
        <v>0</v>
      </c>
      <c r="AG54" s="388">
        <f t="shared" si="68"/>
        <v>0</v>
      </c>
      <c r="AH54" s="388">
        <f t="shared" si="69"/>
        <v>0</v>
      </c>
      <c r="AI54" s="388"/>
      <c r="AJ54" s="395"/>
      <c r="AK54" s="388">
        <f t="shared" si="49"/>
        <v>0</v>
      </c>
      <c r="AL54" s="388">
        <f t="shared" si="49"/>
        <v>0</v>
      </c>
      <c r="AM54" s="388">
        <f t="shared" si="49"/>
        <v>0</v>
      </c>
      <c r="AN54" s="388">
        <f t="shared" si="49"/>
        <v>0</v>
      </c>
      <c r="AO54" s="388">
        <f t="shared" si="49"/>
        <v>0</v>
      </c>
      <c r="AP54" s="388">
        <f t="shared" si="49"/>
        <v>0</v>
      </c>
      <c r="AQ54" s="28">
        <f t="shared" si="49"/>
        <v>0</v>
      </c>
      <c r="AR54" s="298">
        <f t="shared" si="49"/>
        <v>0</v>
      </c>
      <c r="AS54" s="301">
        <f t="shared" si="49"/>
        <v>0</v>
      </c>
      <c r="AT54" s="302">
        <f t="shared" si="49"/>
        <v>0</v>
      </c>
      <c r="AU54" s="298">
        <f t="shared" si="49"/>
        <v>0</v>
      </c>
      <c r="AV54" s="421">
        <f t="shared" si="49"/>
        <v>0</v>
      </c>
      <c r="AW54" s="28">
        <f t="shared" si="49"/>
        <v>0</v>
      </c>
      <c r="AX54" s="388">
        <f t="shared" si="49"/>
        <v>0</v>
      </c>
      <c r="AY54" s="388">
        <f t="shared" si="49"/>
        <v>0</v>
      </c>
      <c r="AZ54" s="388">
        <f t="shared" si="49"/>
        <v>0</v>
      </c>
      <c r="BA54" s="388">
        <f t="shared" si="50"/>
        <v>0</v>
      </c>
      <c r="BB54" s="388">
        <f t="shared" si="19"/>
        <v>0</v>
      </c>
      <c r="BC54" s="4431" t="str">
        <f t="shared" si="20"/>
        <v>Pride Of Ringwood</v>
      </c>
      <c r="BD54" s="4431"/>
      <c r="BE54" s="4431"/>
      <c r="BF54" s="4432"/>
      <c r="BG54" s="348"/>
      <c r="BH54" s="3804">
        <v>2000</v>
      </c>
      <c r="BI54" s="2498">
        <f t="shared" si="51"/>
        <v>70.546737213403873</v>
      </c>
      <c r="BJ54" s="4642" t="str">
        <f t="shared" si="52"/>
        <v>4  lb   6.55  oz</v>
      </c>
      <c r="BK54" s="4643"/>
      <c r="BL54" s="3213">
        <f t="shared" si="53"/>
        <v>4.409171075837742</v>
      </c>
      <c r="BM54" s="417"/>
      <c r="BN54" s="3493"/>
    </row>
    <row r="55" spans="1:66" s="342" customFormat="1" ht="15" customHeight="1">
      <c r="A55" s="4519"/>
      <c r="B55" s="2744" t="str">
        <f t="shared" si="55"/>
        <v>Carapils</v>
      </c>
      <c r="C55" s="2159"/>
      <c r="D55" s="47" t="s">
        <v>40</v>
      </c>
      <c r="E55" s="3845"/>
      <c r="F55" s="2143">
        <f t="shared" si="63"/>
        <v>0</v>
      </c>
      <c r="G55" s="2143">
        <f t="shared" si="56"/>
        <v>0</v>
      </c>
      <c r="H55" s="3024" t="s">
        <v>135</v>
      </c>
      <c r="I55" s="2347">
        <v>5</v>
      </c>
      <c r="J55" s="3021"/>
      <c r="K55" s="2116"/>
      <c r="L55" s="2116"/>
      <c r="M55" s="2116"/>
      <c r="N55" s="2116"/>
      <c r="O55" s="2117"/>
      <c r="P55" s="3022">
        <f t="shared" si="54"/>
        <v>0</v>
      </c>
      <c r="Q55" s="2125">
        <f t="shared" si="54"/>
        <v>0</v>
      </c>
      <c r="R55" s="2125">
        <f t="shared" si="54"/>
        <v>0</v>
      </c>
      <c r="S55" s="2125">
        <f t="shared" si="54"/>
        <v>0</v>
      </c>
      <c r="T55" s="2125">
        <f t="shared" si="54"/>
        <v>0</v>
      </c>
      <c r="U55" s="2126">
        <f t="shared" si="54"/>
        <v>0</v>
      </c>
      <c r="V55" s="3023"/>
      <c r="W55" s="2127"/>
      <c r="X55" s="2116"/>
      <c r="Y55" s="2116"/>
      <c r="Z55" s="2116"/>
      <c r="AA55" s="2117"/>
      <c r="AB55" s="414">
        <f t="shared" si="64"/>
        <v>198.75</v>
      </c>
      <c r="AC55" s="25">
        <f t="shared" si="65"/>
        <v>0.75</v>
      </c>
      <c r="AD55" s="414">
        <f t="shared" si="66"/>
        <v>7.4</v>
      </c>
      <c r="AE55" s="414"/>
      <c r="AF55" s="394">
        <f t="shared" si="67"/>
        <v>0</v>
      </c>
      <c r="AG55" s="388">
        <f t="shared" si="68"/>
        <v>0</v>
      </c>
      <c r="AH55" s="388">
        <f t="shared" si="69"/>
        <v>0</v>
      </c>
      <c r="AI55" s="388"/>
      <c r="AJ55" s="395"/>
      <c r="AK55" s="388">
        <f t="shared" si="49"/>
        <v>0</v>
      </c>
      <c r="AL55" s="388">
        <f t="shared" si="49"/>
        <v>0</v>
      </c>
      <c r="AM55" s="388">
        <f t="shared" si="49"/>
        <v>0</v>
      </c>
      <c r="AN55" s="388">
        <f t="shared" si="49"/>
        <v>0</v>
      </c>
      <c r="AO55" s="388">
        <f t="shared" si="49"/>
        <v>0</v>
      </c>
      <c r="AP55" s="388">
        <f t="shared" si="49"/>
        <v>0</v>
      </c>
      <c r="AQ55" s="28">
        <f t="shared" si="49"/>
        <v>0</v>
      </c>
      <c r="AR55" s="298">
        <f t="shared" si="49"/>
        <v>0</v>
      </c>
      <c r="AS55" s="301">
        <f t="shared" si="49"/>
        <v>0</v>
      </c>
      <c r="AT55" s="302">
        <f t="shared" si="49"/>
        <v>0</v>
      </c>
      <c r="AU55" s="298">
        <f t="shared" si="49"/>
        <v>0</v>
      </c>
      <c r="AV55" s="421">
        <f t="shared" si="49"/>
        <v>0</v>
      </c>
      <c r="AW55" s="28">
        <f t="shared" si="49"/>
        <v>0</v>
      </c>
      <c r="AX55" s="388">
        <f t="shared" si="49"/>
        <v>0</v>
      </c>
      <c r="AY55" s="388">
        <f t="shared" si="49"/>
        <v>0</v>
      </c>
      <c r="AZ55" s="388">
        <f t="shared" si="49"/>
        <v>0</v>
      </c>
      <c r="BA55" s="388">
        <f t="shared" si="50"/>
        <v>0</v>
      </c>
      <c r="BB55" s="388">
        <f t="shared" si="19"/>
        <v>0</v>
      </c>
      <c r="BC55" s="4431" t="str">
        <f t="shared" si="20"/>
        <v>Progress</v>
      </c>
      <c r="BD55" s="4431"/>
      <c r="BE55" s="4431"/>
      <c r="BF55" s="4432"/>
      <c r="BG55" s="348"/>
      <c r="BH55" s="348"/>
      <c r="BI55" s="348"/>
      <c r="BJ55" s="348"/>
      <c r="BK55" s="348"/>
      <c r="BL55" s="348"/>
      <c r="BM55" s="348"/>
      <c r="BN55" s="348"/>
    </row>
    <row r="56" spans="1:66" s="342" customFormat="1" ht="15" customHeight="1">
      <c r="A56" s="4519"/>
      <c r="B56" s="2744" t="str">
        <f t="shared" si="55"/>
        <v>Chocolate</v>
      </c>
      <c r="C56" s="2159"/>
      <c r="D56" s="47" t="s">
        <v>40</v>
      </c>
      <c r="E56" s="3845"/>
      <c r="F56" s="2143">
        <f t="shared" si="63"/>
        <v>0</v>
      </c>
      <c r="G56" s="2143">
        <f t="shared" si="56"/>
        <v>0</v>
      </c>
      <c r="H56" s="3024" t="s">
        <v>136</v>
      </c>
      <c r="I56" s="2347">
        <v>2.2000000000000002</v>
      </c>
      <c r="J56" s="3021"/>
      <c r="K56" s="2116"/>
      <c r="L56" s="2116"/>
      <c r="M56" s="2116"/>
      <c r="N56" s="2116"/>
      <c r="O56" s="2117"/>
      <c r="P56" s="3022">
        <f t="shared" si="54"/>
        <v>0</v>
      </c>
      <c r="Q56" s="2125">
        <f t="shared" si="54"/>
        <v>0</v>
      </c>
      <c r="R56" s="2125">
        <f t="shared" si="54"/>
        <v>0</v>
      </c>
      <c r="S56" s="2125">
        <f t="shared" si="54"/>
        <v>0</v>
      </c>
      <c r="T56" s="2125">
        <f t="shared" si="54"/>
        <v>0</v>
      </c>
      <c r="U56" s="2126">
        <f t="shared" si="54"/>
        <v>0</v>
      </c>
      <c r="V56" s="3023"/>
      <c r="W56" s="2127"/>
      <c r="X56" s="2116"/>
      <c r="Y56" s="2116"/>
      <c r="Z56" s="2116"/>
      <c r="AA56" s="2117"/>
      <c r="AB56" s="414">
        <f t="shared" si="64"/>
        <v>198.75</v>
      </c>
      <c r="AC56" s="25">
        <f t="shared" si="65"/>
        <v>0.75</v>
      </c>
      <c r="AD56" s="414">
        <f t="shared" si="66"/>
        <v>763.2</v>
      </c>
      <c r="AE56" s="414"/>
      <c r="AF56" s="394">
        <f t="shared" si="67"/>
        <v>0</v>
      </c>
      <c r="AG56" s="388">
        <f t="shared" si="68"/>
        <v>0</v>
      </c>
      <c r="AH56" s="388">
        <f t="shared" si="69"/>
        <v>0</v>
      </c>
      <c r="AI56" s="388"/>
      <c r="AJ56" s="395"/>
      <c r="AK56" s="388">
        <f t="shared" si="49"/>
        <v>0</v>
      </c>
      <c r="AL56" s="388">
        <f t="shared" si="49"/>
        <v>0</v>
      </c>
      <c r="AM56" s="388">
        <f t="shared" si="49"/>
        <v>0</v>
      </c>
      <c r="AN56" s="388">
        <f t="shared" si="49"/>
        <v>0</v>
      </c>
      <c r="AO56" s="388">
        <f t="shared" si="49"/>
        <v>0</v>
      </c>
      <c r="AP56" s="388">
        <f t="shared" si="49"/>
        <v>0</v>
      </c>
      <c r="AQ56" s="28">
        <f t="shared" si="49"/>
        <v>0</v>
      </c>
      <c r="AR56" s="298">
        <f t="shared" si="49"/>
        <v>0</v>
      </c>
      <c r="AS56" s="301">
        <f t="shared" si="49"/>
        <v>0</v>
      </c>
      <c r="AT56" s="302">
        <f t="shared" si="49"/>
        <v>0</v>
      </c>
      <c r="AU56" s="298">
        <f t="shared" si="49"/>
        <v>0</v>
      </c>
      <c r="AV56" s="421">
        <f t="shared" si="49"/>
        <v>0</v>
      </c>
      <c r="AW56" s="28">
        <f t="shared" si="49"/>
        <v>0</v>
      </c>
      <c r="AX56" s="388">
        <f t="shared" si="49"/>
        <v>0</v>
      </c>
      <c r="AY56" s="388">
        <f t="shared" si="49"/>
        <v>0</v>
      </c>
      <c r="AZ56" s="388">
        <f t="shared" si="49"/>
        <v>0</v>
      </c>
      <c r="BA56" s="388">
        <f t="shared" si="50"/>
        <v>0</v>
      </c>
      <c r="BB56" s="388">
        <f t="shared" si="19"/>
        <v>0</v>
      </c>
      <c r="BC56" s="4431" t="str">
        <f t="shared" si="20"/>
        <v>Saaz</v>
      </c>
      <c r="BD56" s="4431"/>
      <c r="BE56" s="4431"/>
      <c r="BF56" s="4432"/>
      <c r="BG56" s="348"/>
      <c r="BH56" s="3256" t="s">
        <v>126</v>
      </c>
      <c r="BI56" s="2493" t="s">
        <v>125</v>
      </c>
      <c r="BJ56" s="2864" t="s">
        <v>125</v>
      </c>
      <c r="BK56" s="2862" t="s">
        <v>61</v>
      </c>
      <c r="BL56" s="348"/>
      <c r="BM56" s="348"/>
      <c r="BN56" s="3493"/>
    </row>
    <row r="57" spans="1:66" s="342" customFormat="1" ht="15" customHeight="1">
      <c r="A57" s="4519"/>
      <c r="B57" s="2744" t="str">
        <f t="shared" si="55"/>
        <v>Crystal (dark)</v>
      </c>
      <c r="C57" s="2159"/>
      <c r="D57" s="47" t="s">
        <v>40</v>
      </c>
      <c r="E57" s="3845"/>
      <c r="F57" s="2143">
        <f t="shared" si="63"/>
        <v>0</v>
      </c>
      <c r="G57" s="2143">
        <f t="shared" si="56"/>
        <v>0</v>
      </c>
      <c r="H57" s="3020" t="s">
        <v>137</v>
      </c>
      <c r="I57" s="2347">
        <v>13.5</v>
      </c>
      <c r="J57" s="3021"/>
      <c r="K57" s="2116"/>
      <c r="L57" s="2116"/>
      <c r="M57" s="2116"/>
      <c r="N57" s="2116"/>
      <c r="O57" s="2117"/>
      <c r="P57" s="3022">
        <f t="shared" si="54"/>
        <v>0</v>
      </c>
      <c r="Q57" s="2125">
        <f t="shared" si="54"/>
        <v>0</v>
      </c>
      <c r="R57" s="2125">
        <f t="shared" si="54"/>
        <v>0</v>
      </c>
      <c r="S57" s="2125">
        <f t="shared" si="54"/>
        <v>0</v>
      </c>
      <c r="T57" s="2125">
        <f t="shared" si="54"/>
        <v>0</v>
      </c>
      <c r="U57" s="2126">
        <f t="shared" si="54"/>
        <v>0</v>
      </c>
      <c r="V57" s="3023"/>
      <c r="W57" s="2127"/>
      <c r="X57" s="2116"/>
      <c r="Y57" s="2116"/>
      <c r="Z57" s="2116"/>
      <c r="AA57" s="2117"/>
      <c r="AB57" s="414">
        <f t="shared" si="64"/>
        <v>198.75</v>
      </c>
      <c r="AC57" s="25">
        <f t="shared" si="65"/>
        <v>0.75</v>
      </c>
      <c r="AD57" s="414">
        <f t="shared" si="66"/>
        <v>148</v>
      </c>
      <c r="AE57" s="414"/>
      <c r="AF57" s="394">
        <f t="shared" si="67"/>
        <v>0</v>
      </c>
      <c r="AG57" s="388">
        <f t="shared" si="68"/>
        <v>0</v>
      </c>
      <c r="AH57" s="388">
        <f t="shared" si="69"/>
        <v>0</v>
      </c>
      <c r="AI57" s="388"/>
      <c r="AJ57" s="395"/>
      <c r="AK57" s="388">
        <f t="shared" si="49"/>
        <v>0</v>
      </c>
      <c r="AL57" s="388">
        <f t="shared" si="49"/>
        <v>0</v>
      </c>
      <c r="AM57" s="388">
        <f t="shared" si="49"/>
        <v>0</v>
      </c>
      <c r="AN57" s="388">
        <f t="shared" si="49"/>
        <v>0</v>
      </c>
      <c r="AO57" s="388">
        <f t="shared" si="49"/>
        <v>0</v>
      </c>
      <c r="AP57" s="388">
        <f t="shared" si="49"/>
        <v>0</v>
      </c>
      <c r="AQ57" s="28">
        <f t="shared" si="49"/>
        <v>0</v>
      </c>
      <c r="AR57" s="298">
        <f t="shared" si="49"/>
        <v>0</v>
      </c>
      <c r="AS57" s="301">
        <f t="shared" si="49"/>
        <v>0</v>
      </c>
      <c r="AT57" s="302">
        <f t="shared" si="49"/>
        <v>0</v>
      </c>
      <c r="AU57" s="298">
        <f t="shared" si="49"/>
        <v>0</v>
      </c>
      <c r="AV57" s="421">
        <f t="shared" si="49"/>
        <v>0</v>
      </c>
      <c r="AW57" s="28">
        <f t="shared" si="49"/>
        <v>0</v>
      </c>
      <c r="AX57" s="388">
        <f t="shared" si="49"/>
        <v>0</v>
      </c>
      <c r="AY57" s="388">
        <f t="shared" si="49"/>
        <v>0</v>
      </c>
      <c r="AZ57" s="388">
        <f t="shared" si="49"/>
        <v>0</v>
      </c>
      <c r="BA57" s="388">
        <f t="shared" si="50"/>
        <v>0</v>
      </c>
      <c r="BB57" s="388">
        <f t="shared" si="19"/>
        <v>0</v>
      </c>
      <c r="BC57" s="4431" t="str">
        <f t="shared" si="20"/>
        <v>Southern Cross</v>
      </c>
      <c r="BD57" s="4431"/>
      <c r="BE57" s="4431"/>
      <c r="BF57" s="4432"/>
      <c r="BG57" s="348"/>
      <c r="BH57" s="3260"/>
      <c r="BI57" s="2494">
        <v>8</v>
      </c>
      <c r="BJ57" s="2865">
        <f t="shared" ref="BJ57:BJ63" si="70">BH57*16+BI57</f>
        <v>8</v>
      </c>
      <c r="BK57" s="3258">
        <f t="shared" ref="BK57:BK62" si="71">1000*(BH57+BJ57/16)*0.4536</f>
        <v>226.8</v>
      </c>
      <c r="BL57" s="348"/>
      <c r="BM57" s="348"/>
      <c r="BN57" s="3493"/>
    </row>
    <row r="58" spans="1:66" s="342" customFormat="1" ht="15" customHeight="1">
      <c r="A58" s="4519"/>
      <c r="B58" s="2744" t="str">
        <f t="shared" si="55"/>
        <v>Crystal (light)</v>
      </c>
      <c r="C58" s="2159"/>
      <c r="D58" s="47" t="s">
        <v>40</v>
      </c>
      <c r="E58" s="3845"/>
      <c r="F58" s="2143">
        <f t="shared" si="63"/>
        <v>0</v>
      </c>
      <c r="G58" s="2143">
        <f t="shared" si="56"/>
        <v>0</v>
      </c>
      <c r="H58" s="3020" t="s">
        <v>138</v>
      </c>
      <c r="I58" s="2347">
        <v>5.5</v>
      </c>
      <c r="J58" s="3021"/>
      <c r="K58" s="2116"/>
      <c r="L58" s="2116"/>
      <c r="M58" s="2116"/>
      <c r="N58" s="2116"/>
      <c r="O58" s="2117"/>
      <c r="P58" s="3022">
        <f t="shared" si="54"/>
        <v>0</v>
      </c>
      <c r="Q58" s="2125">
        <f t="shared" si="54"/>
        <v>0</v>
      </c>
      <c r="R58" s="2125">
        <f t="shared" si="54"/>
        <v>0</v>
      </c>
      <c r="S58" s="2125">
        <f t="shared" si="54"/>
        <v>0</v>
      </c>
      <c r="T58" s="2125">
        <f t="shared" si="54"/>
        <v>0</v>
      </c>
      <c r="U58" s="2126">
        <f t="shared" si="54"/>
        <v>0</v>
      </c>
      <c r="V58" s="3023"/>
      <c r="W58" s="2127"/>
      <c r="X58" s="2116"/>
      <c r="Y58" s="2116"/>
      <c r="Z58" s="2116"/>
      <c r="AA58" s="2117"/>
      <c r="AB58" s="414">
        <f t="shared" si="64"/>
        <v>198.75</v>
      </c>
      <c r="AC58" s="25">
        <f t="shared" si="65"/>
        <v>0.75</v>
      </c>
      <c r="AD58" s="414">
        <f t="shared" si="66"/>
        <v>77.7</v>
      </c>
      <c r="AE58" s="414"/>
      <c r="AF58" s="394">
        <f t="shared" si="67"/>
        <v>0</v>
      </c>
      <c r="AG58" s="388">
        <f t="shared" si="68"/>
        <v>0</v>
      </c>
      <c r="AH58" s="388">
        <f t="shared" si="69"/>
        <v>0</v>
      </c>
      <c r="AI58" s="388"/>
      <c r="AJ58" s="395"/>
      <c r="AK58" s="388">
        <f t="shared" si="49"/>
        <v>0</v>
      </c>
      <c r="AL58" s="388">
        <f t="shared" si="49"/>
        <v>0</v>
      </c>
      <c r="AM58" s="388">
        <f t="shared" si="49"/>
        <v>0</v>
      </c>
      <c r="AN58" s="388">
        <f t="shared" si="49"/>
        <v>0</v>
      </c>
      <c r="AO58" s="388">
        <f t="shared" si="49"/>
        <v>0</v>
      </c>
      <c r="AP58" s="388">
        <f t="shared" si="49"/>
        <v>0</v>
      </c>
      <c r="AQ58" s="28">
        <f t="shared" si="49"/>
        <v>0</v>
      </c>
      <c r="AR58" s="298">
        <f t="shared" si="49"/>
        <v>0</v>
      </c>
      <c r="AS58" s="301">
        <f t="shared" si="49"/>
        <v>0</v>
      </c>
      <c r="AT58" s="302">
        <f t="shared" si="49"/>
        <v>0</v>
      </c>
      <c r="AU58" s="298">
        <f t="shared" si="49"/>
        <v>0</v>
      </c>
      <c r="AV58" s="421">
        <f t="shared" si="49"/>
        <v>0</v>
      </c>
      <c r="AW58" s="28">
        <f t="shared" si="49"/>
        <v>0</v>
      </c>
      <c r="AX58" s="388">
        <f t="shared" si="49"/>
        <v>0</v>
      </c>
      <c r="AY58" s="388">
        <f t="shared" si="49"/>
        <v>0</v>
      </c>
      <c r="AZ58" s="388">
        <f t="shared" ref="AZ58:AZ63" si="72">$I58*Y58</f>
        <v>0</v>
      </c>
      <c r="BA58" s="388">
        <f t="shared" si="50"/>
        <v>0</v>
      </c>
      <c r="BB58" s="388">
        <f t="shared" si="19"/>
        <v>0</v>
      </c>
      <c r="BC58" s="4431" t="str">
        <f t="shared" si="20"/>
        <v>Sovereign</v>
      </c>
      <c r="BD58" s="4431"/>
      <c r="BE58" s="4431"/>
      <c r="BF58" s="4432"/>
      <c r="BG58" s="348"/>
      <c r="BH58" s="3260">
        <v>1</v>
      </c>
      <c r="BI58" s="2494"/>
      <c r="BJ58" s="2865">
        <f t="shared" si="70"/>
        <v>16</v>
      </c>
      <c r="BK58" s="3258">
        <f t="shared" si="71"/>
        <v>907.2</v>
      </c>
      <c r="BL58" s="348"/>
      <c r="BM58" s="348"/>
      <c r="BN58" s="3493"/>
    </row>
    <row r="59" spans="1:66" s="342" customFormat="1" ht="15" customHeight="1">
      <c r="A59" s="4519"/>
      <c r="B59" s="2744" t="str">
        <f t="shared" si="55"/>
        <v>Crystal (medium)</v>
      </c>
      <c r="C59" s="2159"/>
      <c r="D59" s="47" t="s">
        <v>40</v>
      </c>
      <c r="E59" s="3845"/>
      <c r="F59" s="2143">
        <f t="shared" si="63"/>
        <v>0</v>
      </c>
      <c r="G59" s="2143">
        <f t="shared" si="56"/>
        <v>0</v>
      </c>
      <c r="H59" s="3024" t="s">
        <v>139</v>
      </c>
      <c r="I59" s="2347">
        <v>5.5</v>
      </c>
      <c r="J59" s="3021"/>
      <c r="K59" s="2116"/>
      <c r="L59" s="2116"/>
      <c r="M59" s="2116"/>
      <c r="N59" s="2116"/>
      <c r="O59" s="2117"/>
      <c r="P59" s="3022">
        <f t="shared" si="54"/>
        <v>0</v>
      </c>
      <c r="Q59" s="2125">
        <f t="shared" si="54"/>
        <v>0</v>
      </c>
      <c r="R59" s="2125">
        <f t="shared" si="54"/>
        <v>0</v>
      </c>
      <c r="S59" s="2125">
        <f t="shared" si="54"/>
        <v>0</v>
      </c>
      <c r="T59" s="2125">
        <f t="shared" si="54"/>
        <v>0</v>
      </c>
      <c r="U59" s="2126">
        <f t="shared" si="54"/>
        <v>0</v>
      </c>
      <c r="V59" s="3023"/>
      <c r="W59" s="2127"/>
      <c r="X59" s="2116"/>
      <c r="Y59" s="2116"/>
      <c r="Z59" s="2116"/>
      <c r="AA59" s="2117"/>
      <c r="AB59" s="414">
        <f t="shared" si="64"/>
        <v>198.75</v>
      </c>
      <c r="AC59" s="25">
        <f t="shared" si="65"/>
        <v>0.75</v>
      </c>
      <c r="AD59" s="414">
        <f t="shared" si="66"/>
        <v>103.6</v>
      </c>
      <c r="AE59" s="414"/>
      <c r="AF59" s="394">
        <f t="shared" si="67"/>
        <v>0</v>
      </c>
      <c r="AG59" s="388">
        <f t="shared" si="68"/>
        <v>0</v>
      </c>
      <c r="AH59" s="388">
        <f t="shared" si="69"/>
        <v>0</v>
      </c>
      <c r="AI59" s="388"/>
      <c r="AJ59" s="395"/>
      <c r="AK59" s="388">
        <f t="shared" ref="AK59:AY63" si="73">$I59*J59</f>
        <v>0</v>
      </c>
      <c r="AL59" s="388">
        <f t="shared" si="73"/>
        <v>0</v>
      </c>
      <c r="AM59" s="388">
        <f t="shared" si="73"/>
        <v>0</v>
      </c>
      <c r="AN59" s="388">
        <f t="shared" si="73"/>
        <v>0</v>
      </c>
      <c r="AO59" s="388">
        <f t="shared" si="73"/>
        <v>0</v>
      </c>
      <c r="AP59" s="388">
        <f t="shared" si="73"/>
        <v>0</v>
      </c>
      <c r="AQ59" s="28">
        <f t="shared" si="73"/>
        <v>0</v>
      </c>
      <c r="AR59" s="298">
        <f t="shared" si="73"/>
        <v>0</v>
      </c>
      <c r="AS59" s="301">
        <f t="shared" si="73"/>
        <v>0</v>
      </c>
      <c r="AT59" s="302">
        <f t="shared" si="73"/>
        <v>0</v>
      </c>
      <c r="AU59" s="298">
        <f t="shared" si="73"/>
        <v>0</v>
      </c>
      <c r="AV59" s="421">
        <f t="shared" si="73"/>
        <v>0</v>
      </c>
      <c r="AW59" s="28">
        <f t="shared" si="73"/>
        <v>0</v>
      </c>
      <c r="AX59" s="388">
        <f t="shared" si="73"/>
        <v>0</v>
      </c>
      <c r="AY59" s="388">
        <f t="shared" si="73"/>
        <v>0</v>
      </c>
      <c r="AZ59" s="388">
        <f t="shared" si="72"/>
        <v>0</v>
      </c>
      <c r="BA59" s="388">
        <f t="shared" si="50"/>
        <v>0</v>
      </c>
      <c r="BB59" s="388">
        <f t="shared" si="19"/>
        <v>0</v>
      </c>
      <c r="BC59" s="4431" t="str">
        <f t="shared" si="20"/>
        <v>Styrian Goldings</v>
      </c>
      <c r="BD59" s="4431"/>
      <c r="BE59" s="4431"/>
      <c r="BF59" s="4432"/>
      <c r="BG59" s="348"/>
      <c r="BH59" s="3260">
        <v>1</v>
      </c>
      <c r="BI59" s="2494">
        <v>8</v>
      </c>
      <c r="BJ59" s="2865">
        <f t="shared" si="70"/>
        <v>24</v>
      </c>
      <c r="BK59" s="3258">
        <f t="shared" si="71"/>
        <v>1134</v>
      </c>
      <c r="BL59" s="348"/>
      <c r="BM59" s="348"/>
      <c r="BN59" s="3493"/>
    </row>
    <row r="60" spans="1:66" s="342" customFormat="1" ht="15" customHeight="1">
      <c r="A60" s="4519"/>
      <c r="B60" s="2744" t="str">
        <f t="shared" si="55"/>
        <v>Roast barley</v>
      </c>
      <c r="C60" s="2159">
        <v>440</v>
      </c>
      <c r="D60" s="47" t="s">
        <v>40</v>
      </c>
      <c r="E60" s="3845"/>
      <c r="F60" s="2143">
        <f t="shared" si="63"/>
        <v>19.992048617027319</v>
      </c>
      <c r="G60" s="2143">
        <f t="shared" si="56"/>
        <v>11.947078336528156</v>
      </c>
      <c r="H60" s="3024" t="s">
        <v>140</v>
      </c>
      <c r="I60" s="2347">
        <v>11.2</v>
      </c>
      <c r="J60" s="3021"/>
      <c r="K60" s="2116"/>
      <c r="L60" s="2116"/>
      <c r="M60" s="2116"/>
      <c r="N60" s="2116"/>
      <c r="O60" s="2117"/>
      <c r="P60" s="3022">
        <f t="shared" si="54"/>
        <v>0</v>
      </c>
      <c r="Q60" s="2125">
        <f t="shared" si="54"/>
        <v>0</v>
      </c>
      <c r="R60" s="2125">
        <f t="shared" si="54"/>
        <v>0</v>
      </c>
      <c r="S60" s="2125">
        <f t="shared" si="54"/>
        <v>0</v>
      </c>
      <c r="T60" s="2125">
        <f t="shared" si="54"/>
        <v>0</v>
      </c>
      <c r="U60" s="2126">
        <f t="shared" si="54"/>
        <v>0</v>
      </c>
      <c r="V60" s="3023"/>
      <c r="W60" s="2127"/>
      <c r="X60" s="2116"/>
      <c r="Y60" s="2116"/>
      <c r="Z60" s="2116"/>
      <c r="AA60" s="2117"/>
      <c r="AB60" s="414">
        <f t="shared" si="64"/>
        <v>198.75</v>
      </c>
      <c r="AC60" s="25">
        <f t="shared" si="65"/>
        <v>0.75</v>
      </c>
      <c r="AD60" s="414">
        <f t="shared" si="66"/>
        <v>902.8</v>
      </c>
      <c r="AE60" s="414"/>
      <c r="AF60" s="394">
        <f t="shared" si="67"/>
        <v>87.45</v>
      </c>
      <c r="AG60" s="388">
        <f t="shared" si="68"/>
        <v>65.587500000000006</v>
      </c>
      <c r="AH60" s="388">
        <f t="shared" si="69"/>
        <v>3972.32</v>
      </c>
      <c r="AI60" s="358"/>
      <c r="AJ60" s="395"/>
      <c r="AK60" s="388">
        <f t="shared" si="73"/>
        <v>0</v>
      </c>
      <c r="AL60" s="388">
        <f t="shared" si="73"/>
        <v>0</v>
      </c>
      <c r="AM60" s="388">
        <f t="shared" si="73"/>
        <v>0</v>
      </c>
      <c r="AN60" s="388">
        <f t="shared" si="73"/>
        <v>0</v>
      </c>
      <c r="AO60" s="388">
        <f t="shared" si="73"/>
        <v>0</v>
      </c>
      <c r="AP60" s="388">
        <f t="shared" si="73"/>
        <v>0</v>
      </c>
      <c r="AQ60" s="28">
        <f t="shared" si="73"/>
        <v>0</v>
      </c>
      <c r="AR60" s="298">
        <f t="shared" si="73"/>
        <v>0</v>
      </c>
      <c r="AS60" s="301">
        <f t="shared" si="73"/>
        <v>0</v>
      </c>
      <c r="AT60" s="302">
        <f t="shared" si="73"/>
        <v>0</v>
      </c>
      <c r="AU60" s="298">
        <f t="shared" si="73"/>
        <v>0</v>
      </c>
      <c r="AV60" s="421">
        <f t="shared" si="73"/>
        <v>0</v>
      </c>
      <c r="AW60" s="28">
        <f t="shared" si="73"/>
        <v>0</v>
      </c>
      <c r="AX60" s="388">
        <f t="shared" si="73"/>
        <v>0</v>
      </c>
      <c r="AY60" s="388">
        <f t="shared" si="73"/>
        <v>0</v>
      </c>
      <c r="AZ60" s="388">
        <f t="shared" si="72"/>
        <v>0</v>
      </c>
      <c r="BA60" s="388">
        <f t="shared" si="50"/>
        <v>0</v>
      </c>
      <c r="BB60" s="388">
        <f t="shared" si="19"/>
        <v>0</v>
      </c>
      <c r="BC60" s="4431" t="str">
        <f t="shared" si="20"/>
        <v>Target</v>
      </c>
      <c r="BD60" s="4431"/>
      <c r="BE60" s="4431"/>
      <c r="BF60" s="4432"/>
      <c r="BG60" s="348"/>
      <c r="BH60" s="3260">
        <v>2</v>
      </c>
      <c r="BI60" s="2494"/>
      <c r="BJ60" s="2865">
        <f t="shared" si="70"/>
        <v>32</v>
      </c>
      <c r="BK60" s="3258">
        <f t="shared" si="71"/>
        <v>1814.4</v>
      </c>
      <c r="BL60" s="348"/>
      <c r="BM60" s="348"/>
      <c r="BN60" s="3493"/>
    </row>
    <row r="61" spans="1:66" s="342" customFormat="1" ht="15" customHeight="1">
      <c r="A61" s="4519"/>
      <c r="B61" s="2744" t="str">
        <f t="shared" si="55"/>
        <v>OTHER (2)</v>
      </c>
      <c r="C61" s="2159"/>
      <c r="D61" s="47" t="s">
        <v>40</v>
      </c>
      <c r="E61" s="3845"/>
      <c r="F61" s="2143">
        <f t="shared" si="63"/>
        <v>0</v>
      </c>
      <c r="G61" s="2143">
        <f t="shared" si="56"/>
        <v>0</v>
      </c>
      <c r="H61" s="3024" t="s">
        <v>141</v>
      </c>
      <c r="I61" s="2347">
        <v>5</v>
      </c>
      <c r="J61" s="3021"/>
      <c r="K61" s="2116"/>
      <c r="L61" s="2116"/>
      <c r="M61" s="2116"/>
      <c r="N61" s="2116"/>
      <c r="O61" s="2117"/>
      <c r="P61" s="3022">
        <f t="shared" si="54"/>
        <v>0</v>
      </c>
      <c r="Q61" s="2125">
        <f t="shared" si="54"/>
        <v>0</v>
      </c>
      <c r="R61" s="2125">
        <f t="shared" si="54"/>
        <v>0</v>
      </c>
      <c r="S61" s="2125">
        <f t="shared" si="54"/>
        <v>0</v>
      </c>
      <c r="T61" s="2125">
        <f t="shared" si="54"/>
        <v>0</v>
      </c>
      <c r="U61" s="2126">
        <f t="shared" si="54"/>
        <v>0</v>
      </c>
      <c r="V61" s="3023"/>
      <c r="W61" s="2127"/>
      <c r="X61" s="2116"/>
      <c r="Y61" s="2116"/>
      <c r="Z61" s="2116"/>
      <c r="AA61" s="2117"/>
      <c r="AB61" s="414">
        <f t="shared" si="64"/>
        <v>0</v>
      </c>
      <c r="AC61" s="25">
        <f t="shared" si="65"/>
        <v>0.75</v>
      </c>
      <c r="AD61" s="414">
        <f t="shared" si="66"/>
        <v>0</v>
      </c>
      <c r="AE61" s="414"/>
      <c r="AF61" s="394">
        <f t="shared" si="67"/>
        <v>0</v>
      </c>
      <c r="AG61" s="388">
        <f t="shared" si="68"/>
        <v>0</v>
      </c>
      <c r="AH61" s="388">
        <f t="shared" si="69"/>
        <v>0</v>
      </c>
      <c r="AI61" s="413"/>
      <c r="AJ61" s="418"/>
      <c r="AK61" s="388">
        <f t="shared" si="73"/>
        <v>0</v>
      </c>
      <c r="AL61" s="388">
        <f t="shared" si="73"/>
        <v>0</v>
      </c>
      <c r="AM61" s="388">
        <f t="shared" si="73"/>
        <v>0</v>
      </c>
      <c r="AN61" s="388">
        <f t="shared" si="73"/>
        <v>0</v>
      </c>
      <c r="AO61" s="388">
        <f t="shared" si="73"/>
        <v>0</v>
      </c>
      <c r="AP61" s="388">
        <f t="shared" si="73"/>
        <v>0</v>
      </c>
      <c r="AQ61" s="28">
        <f t="shared" si="73"/>
        <v>0</v>
      </c>
      <c r="AR61" s="298">
        <f t="shared" si="73"/>
        <v>0</v>
      </c>
      <c r="AS61" s="301">
        <f t="shared" si="73"/>
        <v>0</v>
      </c>
      <c r="AT61" s="302">
        <f t="shared" si="73"/>
        <v>0</v>
      </c>
      <c r="AU61" s="298">
        <f t="shared" si="73"/>
        <v>0</v>
      </c>
      <c r="AV61" s="421">
        <f t="shared" si="73"/>
        <v>0</v>
      </c>
      <c r="AW61" s="28">
        <f t="shared" si="73"/>
        <v>0</v>
      </c>
      <c r="AX61" s="388">
        <f t="shared" si="73"/>
        <v>0</v>
      </c>
      <c r="AY61" s="388">
        <f t="shared" si="73"/>
        <v>0</v>
      </c>
      <c r="AZ61" s="388">
        <f t="shared" si="72"/>
        <v>0</v>
      </c>
      <c r="BA61" s="388">
        <f t="shared" si="50"/>
        <v>0</v>
      </c>
      <c r="BB61" s="388">
        <f t="shared" si="19"/>
        <v>0</v>
      </c>
      <c r="BC61" s="4431" t="str">
        <f>H61</f>
        <v>Tettnanger</v>
      </c>
      <c r="BD61" s="4431"/>
      <c r="BE61" s="4431"/>
      <c r="BF61" s="4432"/>
      <c r="BG61" s="348"/>
      <c r="BH61" s="3260">
        <v>2</v>
      </c>
      <c r="BI61" s="2494">
        <v>8</v>
      </c>
      <c r="BJ61" s="2865">
        <f t="shared" si="70"/>
        <v>40</v>
      </c>
      <c r="BK61" s="3258">
        <f t="shared" si="71"/>
        <v>2041.2</v>
      </c>
      <c r="BL61" s="363"/>
      <c r="BM61" s="348"/>
      <c r="BN61" s="3493"/>
    </row>
    <row r="62" spans="1:66" s="342" customFormat="1" ht="15" customHeight="1">
      <c r="A62" s="4520"/>
      <c r="B62" s="2745" t="str">
        <f t="shared" si="55"/>
        <v>OTHER (1)</v>
      </c>
      <c r="C62" s="2160"/>
      <c r="D62" s="47" t="s">
        <v>40</v>
      </c>
      <c r="E62" s="3846"/>
      <c r="F62" s="2142">
        <f t="shared" si="63"/>
        <v>0</v>
      </c>
      <c r="G62" s="3005">
        <f t="shared" si="56"/>
        <v>0</v>
      </c>
      <c r="H62" s="3024" t="s">
        <v>142</v>
      </c>
      <c r="I62" s="2347">
        <v>6.3</v>
      </c>
      <c r="J62" s="3021"/>
      <c r="K62" s="2116"/>
      <c r="L62" s="2116"/>
      <c r="M62" s="2116"/>
      <c r="N62" s="2116"/>
      <c r="O62" s="2117"/>
      <c r="P62" s="3022">
        <f t="shared" si="54"/>
        <v>0</v>
      </c>
      <c r="Q62" s="2125">
        <f t="shared" si="54"/>
        <v>0</v>
      </c>
      <c r="R62" s="2125">
        <f t="shared" si="54"/>
        <v>0</v>
      </c>
      <c r="S62" s="2125">
        <f t="shared" si="54"/>
        <v>0</v>
      </c>
      <c r="T62" s="2125">
        <f t="shared" si="54"/>
        <v>0</v>
      </c>
      <c r="U62" s="2126">
        <f t="shared" si="54"/>
        <v>0</v>
      </c>
      <c r="V62" s="3023"/>
      <c r="W62" s="2127"/>
      <c r="X62" s="2116"/>
      <c r="Y62" s="2116"/>
      <c r="Z62" s="2116"/>
      <c r="AA62" s="2117"/>
      <c r="AB62" s="414">
        <f t="shared" si="64"/>
        <v>0</v>
      </c>
      <c r="AC62" s="25">
        <f t="shared" si="65"/>
        <v>0.75</v>
      </c>
      <c r="AD62" s="414">
        <f t="shared" si="66"/>
        <v>0</v>
      </c>
      <c r="AE62" s="414"/>
      <c r="AF62" s="394">
        <f t="shared" si="67"/>
        <v>0</v>
      </c>
      <c r="AG62" s="388">
        <f t="shared" si="68"/>
        <v>0</v>
      </c>
      <c r="AH62" s="388">
        <f t="shared" si="69"/>
        <v>0</v>
      </c>
      <c r="AI62" s="413"/>
      <c r="AJ62" s="418"/>
      <c r="AK62" s="388">
        <f t="shared" si="73"/>
        <v>0</v>
      </c>
      <c r="AL62" s="388">
        <f t="shared" si="73"/>
        <v>0</v>
      </c>
      <c r="AM62" s="388">
        <f t="shared" si="73"/>
        <v>0</v>
      </c>
      <c r="AN62" s="388">
        <f t="shared" si="73"/>
        <v>0</v>
      </c>
      <c r="AO62" s="388">
        <f t="shared" si="73"/>
        <v>0</v>
      </c>
      <c r="AP62" s="388">
        <f t="shared" si="73"/>
        <v>0</v>
      </c>
      <c r="AQ62" s="28">
        <f t="shared" si="73"/>
        <v>0</v>
      </c>
      <c r="AR62" s="298">
        <f t="shared" si="73"/>
        <v>0</v>
      </c>
      <c r="AS62" s="301">
        <f t="shared" si="73"/>
        <v>0</v>
      </c>
      <c r="AT62" s="302">
        <f t="shared" si="73"/>
        <v>0</v>
      </c>
      <c r="AU62" s="298">
        <f t="shared" si="73"/>
        <v>0</v>
      </c>
      <c r="AV62" s="421">
        <f t="shared" si="73"/>
        <v>0</v>
      </c>
      <c r="AW62" s="28">
        <f t="shared" si="73"/>
        <v>0</v>
      </c>
      <c r="AX62" s="388">
        <f t="shared" si="73"/>
        <v>0</v>
      </c>
      <c r="AY62" s="388">
        <f t="shared" si="73"/>
        <v>0</v>
      </c>
      <c r="AZ62" s="388">
        <f t="shared" si="72"/>
        <v>0</v>
      </c>
      <c r="BA62" s="388">
        <f t="shared" si="50"/>
        <v>0</v>
      </c>
      <c r="BB62" s="388">
        <f t="shared" si="19"/>
        <v>0</v>
      </c>
      <c r="BC62" s="4431" t="str">
        <f t="shared" ref="BC62:BC67" si="74">H62</f>
        <v>WGV</v>
      </c>
      <c r="BD62" s="4431"/>
      <c r="BE62" s="4431"/>
      <c r="BF62" s="4432"/>
      <c r="BG62" s="348"/>
      <c r="BH62" s="3260"/>
      <c r="BI62" s="2494">
        <v>0.1111</v>
      </c>
      <c r="BJ62" s="2865">
        <f t="shared" si="70"/>
        <v>0.1111</v>
      </c>
      <c r="BK62" s="3258">
        <f t="shared" si="71"/>
        <v>3.1496850000000003</v>
      </c>
      <c r="BL62" s="363"/>
      <c r="BM62" s="348"/>
      <c r="BN62" s="3493"/>
    </row>
    <row r="63" spans="1:66" s="342" customFormat="1" ht="15" customHeight="1">
      <c r="A63" s="4628" t="s">
        <v>143</v>
      </c>
      <c r="B63" s="48" t="s">
        <v>144</v>
      </c>
      <c r="C63" s="2161"/>
      <c r="D63" s="32"/>
      <c r="E63" s="4630" t="s">
        <v>724</v>
      </c>
      <c r="F63" s="2146"/>
      <c r="G63" s="3006" t="s">
        <v>101</v>
      </c>
      <c r="H63" s="3024" t="s">
        <v>145</v>
      </c>
      <c r="I63" s="2347">
        <v>7.2</v>
      </c>
      <c r="J63" s="3021"/>
      <c r="K63" s="2116"/>
      <c r="L63" s="2116"/>
      <c r="M63" s="2116"/>
      <c r="N63" s="2116"/>
      <c r="O63" s="2117"/>
      <c r="P63" s="3022">
        <f t="shared" si="54"/>
        <v>0</v>
      </c>
      <c r="Q63" s="2125">
        <f t="shared" si="54"/>
        <v>0</v>
      </c>
      <c r="R63" s="2125">
        <f t="shared" si="54"/>
        <v>0</v>
      </c>
      <c r="S63" s="2125">
        <f t="shared" si="54"/>
        <v>0</v>
      </c>
      <c r="T63" s="2125">
        <f t="shared" si="54"/>
        <v>0</v>
      </c>
      <c r="U63" s="2126">
        <f t="shared" si="54"/>
        <v>0</v>
      </c>
      <c r="V63" s="3023"/>
      <c r="W63" s="2127"/>
      <c r="X63" s="2116"/>
      <c r="Y63" s="2116"/>
      <c r="Z63" s="2116"/>
      <c r="AA63" s="2117"/>
      <c r="AB63" s="358"/>
      <c r="AC63" s="358"/>
      <c r="AD63" s="358"/>
      <c r="AE63" s="358"/>
      <c r="AF63" s="358"/>
      <c r="AG63" s="358"/>
      <c r="AH63" s="358"/>
      <c r="AI63" s="358"/>
      <c r="AJ63" s="418"/>
      <c r="AK63" s="388">
        <f t="shared" si="73"/>
        <v>0</v>
      </c>
      <c r="AL63" s="388">
        <f t="shared" si="73"/>
        <v>0</v>
      </c>
      <c r="AM63" s="388">
        <f t="shared" si="73"/>
        <v>0</v>
      </c>
      <c r="AN63" s="388">
        <f t="shared" si="73"/>
        <v>0</v>
      </c>
      <c r="AO63" s="388">
        <f t="shared" si="73"/>
        <v>0</v>
      </c>
      <c r="AP63" s="388">
        <f t="shared" si="73"/>
        <v>0</v>
      </c>
      <c r="AQ63" s="28">
        <f t="shared" si="73"/>
        <v>0</v>
      </c>
      <c r="AR63" s="298">
        <f t="shared" si="73"/>
        <v>0</v>
      </c>
      <c r="AS63" s="301">
        <f t="shared" si="73"/>
        <v>0</v>
      </c>
      <c r="AT63" s="302">
        <f t="shared" si="73"/>
        <v>0</v>
      </c>
      <c r="AU63" s="298">
        <f t="shared" si="73"/>
        <v>0</v>
      </c>
      <c r="AV63" s="421">
        <f t="shared" si="73"/>
        <v>0</v>
      </c>
      <c r="AW63" s="28">
        <f t="shared" si="73"/>
        <v>0</v>
      </c>
      <c r="AX63" s="388">
        <f t="shared" si="73"/>
        <v>0</v>
      </c>
      <c r="AY63" s="388">
        <f t="shared" si="73"/>
        <v>0</v>
      </c>
      <c r="AZ63" s="388">
        <f t="shared" si="72"/>
        <v>0</v>
      </c>
      <c r="BA63" s="388">
        <f t="shared" si="50"/>
        <v>0</v>
      </c>
      <c r="BB63" s="388">
        <f t="shared" si="19"/>
        <v>0</v>
      </c>
      <c r="BC63" s="4431" t="str">
        <f t="shared" si="74"/>
        <v>Yeoman</v>
      </c>
      <c r="BD63" s="4431"/>
      <c r="BE63" s="4431"/>
      <c r="BF63" s="4432"/>
      <c r="BG63" s="348"/>
      <c r="BH63" s="3260"/>
      <c r="BI63" s="2494">
        <v>2.222</v>
      </c>
      <c r="BJ63" s="2865">
        <f t="shared" si="70"/>
        <v>2.222</v>
      </c>
      <c r="BK63" s="3258">
        <f>1000*(BH63+BJ63/16)*0.4536</f>
        <v>62.993699999999997</v>
      </c>
      <c r="BL63" s="363"/>
      <c r="BM63" s="348"/>
      <c r="BN63" s="3493"/>
    </row>
    <row r="64" spans="1:66" s="342" customFormat="1" ht="15" customHeight="1">
      <c r="A64" s="4519"/>
      <c r="B64" s="49"/>
      <c r="C64" s="2154" t="s">
        <v>72</v>
      </c>
      <c r="D64" s="1674" t="s">
        <v>73</v>
      </c>
      <c r="E64" s="4631"/>
      <c r="F64" s="2147" t="s">
        <v>74</v>
      </c>
      <c r="G64" s="3007" t="s">
        <v>103</v>
      </c>
      <c r="H64" s="3029" t="s">
        <v>146</v>
      </c>
      <c r="I64" s="2347">
        <v>9</v>
      </c>
      <c r="J64" s="3021"/>
      <c r="K64" s="2116"/>
      <c r="L64" s="2116"/>
      <c r="M64" s="2116"/>
      <c r="N64" s="2116"/>
      <c r="O64" s="2117"/>
      <c r="P64" s="3022">
        <f t="shared" si="54"/>
        <v>0</v>
      </c>
      <c r="Q64" s="2125">
        <f t="shared" si="54"/>
        <v>0</v>
      </c>
      <c r="R64" s="2125">
        <f t="shared" si="54"/>
        <v>0</v>
      </c>
      <c r="S64" s="2125">
        <f t="shared" si="54"/>
        <v>0</v>
      </c>
      <c r="T64" s="2125">
        <f t="shared" si="54"/>
        <v>0</v>
      </c>
      <c r="U64" s="2126">
        <f t="shared" si="54"/>
        <v>0</v>
      </c>
      <c r="V64" s="3023"/>
      <c r="W64" s="2127"/>
      <c r="X64" s="2116"/>
      <c r="Y64" s="2116"/>
      <c r="Z64" s="2116"/>
      <c r="AA64" s="2117"/>
      <c r="AB64" s="358"/>
      <c r="AC64" s="358"/>
      <c r="AD64" s="358"/>
      <c r="AE64" s="358"/>
      <c r="AF64" s="358"/>
      <c r="AG64" s="358"/>
      <c r="AH64" s="358"/>
      <c r="AI64" s="358"/>
      <c r="AJ64" s="418"/>
      <c r="AK64" s="388">
        <f t="shared" ref="AK64:AT67" si="75">$I64*J64</f>
        <v>0</v>
      </c>
      <c r="AL64" s="388">
        <f t="shared" si="75"/>
        <v>0</v>
      </c>
      <c r="AM64" s="388">
        <f t="shared" si="75"/>
        <v>0</v>
      </c>
      <c r="AN64" s="388">
        <f t="shared" si="75"/>
        <v>0</v>
      </c>
      <c r="AO64" s="388">
        <f t="shared" si="75"/>
        <v>0</v>
      </c>
      <c r="AP64" s="388">
        <f t="shared" si="75"/>
        <v>0</v>
      </c>
      <c r="AQ64" s="28">
        <f t="shared" si="75"/>
        <v>0</v>
      </c>
      <c r="AR64" s="298">
        <f t="shared" si="75"/>
        <v>0</v>
      </c>
      <c r="AS64" s="301">
        <f t="shared" si="75"/>
        <v>0</v>
      </c>
      <c r="AT64" s="302">
        <f t="shared" si="75"/>
        <v>0</v>
      </c>
      <c r="AU64" s="298">
        <f t="shared" ref="AU64:BB67" si="76">$I64*T64</f>
        <v>0</v>
      </c>
      <c r="AV64" s="421">
        <f t="shared" si="76"/>
        <v>0</v>
      </c>
      <c r="AW64" s="28">
        <f t="shared" si="76"/>
        <v>0</v>
      </c>
      <c r="AX64" s="388">
        <f t="shared" si="76"/>
        <v>0</v>
      </c>
      <c r="AY64" s="388">
        <f t="shared" si="76"/>
        <v>0</v>
      </c>
      <c r="AZ64" s="388">
        <f t="shared" si="76"/>
        <v>0</v>
      </c>
      <c r="BA64" s="388">
        <f t="shared" si="76"/>
        <v>0</v>
      </c>
      <c r="BB64" s="388">
        <f t="shared" si="76"/>
        <v>0</v>
      </c>
      <c r="BC64" s="4431" t="str">
        <f t="shared" si="74"/>
        <v>Zenith</v>
      </c>
      <c r="BD64" s="4431"/>
      <c r="BE64" s="4431"/>
      <c r="BF64" s="4432"/>
      <c r="BG64" s="348"/>
      <c r="BH64" s="348"/>
      <c r="BI64" s="348"/>
      <c r="BJ64" s="348"/>
      <c r="BK64" s="348"/>
      <c r="BL64" s="363"/>
      <c r="BM64" s="348"/>
      <c r="BN64" s="3493"/>
    </row>
    <row r="65" spans="1:66" s="342" customFormat="1" ht="15" customHeight="1">
      <c r="A65" s="4519"/>
      <c r="B65" s="2746" t="str">
        <f t="shared" ref="B65:B77" si="77">B162</f>
        <v>Cane ̸ beet sugar (sucrose)</v>
      </c>
      <c r="C65" s="2159">
        <v>110</v>
      </c>
      <c r="D65" s="50" t="s">
        <v>40</v>
      </c>
      <c r="E65" s="3852"/>
      <c r="F65" s="2142">
        <f>100*IF(C65=0,0,C65/$F$83)</f>
        <v>4.9980121542568297</v>
      </c>
      <c r="G65" s="3005">
        <f t="shared" ref="G65:G78" si="78">IF(AF65=0,0,AF65*100/$AF$82)</f>
        <v>5.6354143096830924</v>
      </c>
      <c r="H65" s="3030" t="s">
        <v>147</v>
      </c>
      <c r="I65" s="2347">
        <v>7.4</v>
      </c>
      <c r="J65" s="3021"/>
      <c r="K65" s="2116"/>
      <c r="L65" s="2116"/>
      <c r="M65" s="2116"/>
      <c r="N65" s="2116"/>
      <c r="O65" s="2117"/>
      <c r="P65" s="3022">
        <f t="shared" si="54"/>
        <v>0</v>
      </c>
      <c r="Q65" s="2125">
        <f t="shared" si="54"/>
        <v>0</v>
      </c>
      <c r="R65" s="2125">
        <f t="shared" si="54"/>
        <v>0</v>
      </c>
      <c r="S65" s="2125">
        <f t="shared" si="54"/>
        <v>0</v>
      </c>
      <c r="T65" s="2125">
        <f t="shared" si="54"/>
        <v>0</v>
      </c>
      <c r="U65" s="2126">
        <f t="shared" si="54"/>
        <v>0</v>
      </c>
      <c r="V65" s="3023"/>
      <c r="W65" s="2127"/>
      <c r="X65" s="2116"/>
      <c r="Y65" s="2116"/>
      <c r="Z65" s="2116"/>
      <c r="AA65" s="2117"/>
      <c r="AB65" s="51">
        <f t="shared" ref="AB65:AD65" si="79">C162</f>
        <v>375</v>
      </c>
      <c r="AC65" s="51">
        <f t="shared" si="79"/>
        <v>1</v>
      </c>
      <c r="AD65" s="358">
        <f t="shared" si="79"/>
        <v>0</v>
      </c>
      <c r="AE65" s="612">
        <f>C65*AB65*AC65</f>
        <v>41250</v>
      </c>
      <c r="AF65" s="420">
        <f t="shared" ref="AF65" si="80">0.001*C65*AB65*AC65</f>
        <v>41.25</v>
      </c>
      <c r="AG65" s="394">
        <f>AF65*AC65</f>
        <v>41.25</v>
      </c>
      <c r="AH65" s="421">
        <f t="shared" ref="AH65" si="81">0.01*C65*AD65</f>
        <v>0</v>
      </c>
      <c r="AI65" s="358"/>
      <c r="AJ65" s="418"/>
      <c r="AK65" s="388">
        <f t="shared" si="75"/>
        <v>0</v>
      </c>
      <c r="AL65" s="388">
        <f t="shared" si="75"/>
        <v>0</v>
      </c>
      <c r="AM65" s="388">
        <f t="shared" si="75"/>
        <v>0</v>
      </c>
      <c r="AN65" s="388">
        <f t="shared" si="75"/>
        <v>0</v>
      </c>
      <c r="AO65" s="388">
        <f t="shared" si="75"/>
        <v>0</v>
      </c>
      <c r="AP65" s="388">
        <f t="shared" si="75"/>
        <v>0</v>
      </c>
      <c r="AQ65" s="28">
        <f t="shared" si="75"/>
        <v>0</v>
      </c>
      <c r="AR65" s="298">
        <f t="shared" si="75"/>
        <v>0</v>
      </c>
      <c r="AS65" s="301">
        <f t="shared" si="75"/>
        <v>0</v>
      </c>
      <c r="AT65" s="302">
        <f t="shared" si="75"/>
        <v>0</v>
      </c>
      <c r="AU65" s="298">
        <f t="shared" si="76"/>
        <v>0</v>
      </c>
      <c r="AV65" s="421">
        <f t="shared" si="76"/>
        <v>0</v>
      </c>
      <c r="AW65" s="28">
        <f t="shared" si="76"/>
        <v>0</v>
      </c>
      <c r="AX65" s="388">
        <f t="shared" si="76"/>
        <v>0</v>
      </c>
      <c r="AY65" s="388">
        <f t="shared" si="76"/>
        <v>0</v>
      </c>
      <c r="AZ65" s="388">
        <f t="shared" si="76"/>
        <v>0</v>
      </c>
      <c r="BA65" s="388">
        <f t="shared" si="76"/>
        <v>0</v>
      </c>
      <c r="BB65" s="388">
        <f t="shared" si="76"/>
        <v>0</v>
      </c>
      <c r="BC65" s="4431" t="str">
        <f t="shared" si="74"/>
        <v>Cascade</v>
      </c>
      <c r="BD65" s="4431"/>
      <c r="BE65" s="4431"/>
      <c r="BF65" s="4432"/>
      <c r="BG65" s="348"/>
      <c r="BH65" s="348"/>
      <c r="BI65" s="348"/>
      <c r="BJ65" s="348"/>
      <c r="BK65" s="348"/>
      <c r="BL65" s="363"/>
      <c r="BM65" s="348"/>
      <c r="BN65" s="3493"/>
    </row>
    <row r="66" spans="1:66" s="342" customFormat="1" ht="15" customHeight="1">
      <c r="A66" s="4519"/>
      <c r="B66" s="2746" t="str">
        <f t="shared" si="77"/>
        <v>Brown sugar (light)</v>
      </c>
      <c r="C66" s="2159"/>
      <c r="D66" s="50" t="s">
        <v>40</v>
      </c>
      <c r="E66" s="3845"/>
      <c r="F66" s="2143">
        <f>100*IF(C66=0,0,C66/$F$83)</f>
        <v>0</v>
      </c>
      <c r="G66" s="2143">
        <f t="shared" si="78"/>
        <v>0</v>
      </c>
      <c r="H66" s="3030" t="s">
        <v>525</v>
      </c>
      <c r="I66" s="2347"/>
      <c r="J66" s="3021"/>
      <c r="K66" s="2116"/>
      <c r="L66" s="2116"/>
      <c r="M66" s="2116"/>
      <c r="N66" s="2116"/>
      <c r="O66" s="2117"/>
      <c r="P66" s="3022">
        <f t="shared" ref="P66:U67" si="82">J66</f>
        <v>0</v>
      </c>
      <c r="Q66" s="2125">
        <f t="shared" si="82"/>
        <v>0</v>
      </c>
      <c r="R66" s="2125">
        <f t="shared" si="82"/>
        <v>0</v>
      </c>
      <c r="S66" s="2125">
        <f t="shared" si="82"/>
        <v>0</v>
      </c>
      <c r="T66" s="2125">
        <f t="shared" si="82"/>
        <v>0</v>
      </c>
      <c r="U66" s="2126">
        <f t="shared" si="82"/>
        <v>0</v>
      </c>
      <c r="V66" s="3023"/>
      <c r="W66" s="2127"/>
      <c r="X66" s="2116"/>
      <c r="Y66" s="2116"/>
      <c r="Z66" s="2116"/>
      <c r="AA66" s="2117"/>
      <c r="AB66" s="51">
        <f t="shared" ref="AB66:AB78" si="83">C163</f>
        <v>370</v>
      </c>
      <c r="AC66" s="51">
        <f t="shared" ref="AC66:AC78" si="84">D163</f>
        <v>1</v>
      </c>
      <c r="AD66" s="358">
        <f t="shared" ref="AD66:AD78" si="85">E163</f>
        <v>16</v>
      </c>
      <c r="AE66" s="612">
        <f t="shared" ref="AE66:AE78" si="86">C66*AB66*AC66</f>
        <v>0</v>
      </c>
      <c r="AF66" s="420">
        <f t="shared" ref="AF66:AF78" si="87">0.001*C66*AB66*AC66</f>
        <v>0</v>
      </c>
      <c r="AG66" s="394">
        <f t="shared" ref="AG66:AG78" si="88">AF66*AC66</f>
        <v>0</v>
      </c>
      <c r="AH66" s="421">
        <f t="shared" ref="AH66:AH78" si="89">0.01*C66*AD66</f>
        <v>0</v>
      </c>
      <c r="AI66" s="413"/>
      <c r="AJ66" s="418"/>
      <c r="AK66" s="388">
        <f t="shared" si="75"/>
        <v>0</v>
      </c>
      <c r="AL66" s="388">
        <f t="shared" si="75"/>
        <v>0</v>
      </c>
      <c r="AM66" s="388">
        <f t="shared" si="75"/>
        <v>0</v>
      </c>
      <c r="AN66" s="388">
        <f t="shared" si="75"/>
        <v>0</v>
      </c>
      <c r="AO66" s="388">
        <f t="shared" si="75"/>
        <v>0</v>
      </c>
      <c r="AP66" s="388">
        <f t="shared" si="75"/>
        <v>0</v>
      </c>
      <c r="AQ66" s="28">
        <f t="shared" si="75"/>
        <v>0</v>
      </c>
      <c r="AR66" s="298">
        <f t="shared" si="75"/>
        <v>0</v>
      </c>
      <c r="AS66" s="301">
        <f t="shared" si="75"/>
        <v>0</v>
      </c>
      <c r="AT66" s="302">
        <f t="shared" si="75"/>
        <v>0</v>
      </c>
      <c r="AU66" s="298">
        <f t="shared" si="76"/>
        <v>0</v>
      </c>
      <c r="AV66" s="421">
        <f t="shared" si="76"/>
        <v>0</v>
      </c>
      <c r="AW66" s="28">
        <f t="shared" si="76"/>
        <v>0</v>
      </c>
      <c r="AX66" s="388">
        <f t="shared" si="76"/>
        <v>0</v>
      </c>
      <c r="AY66" s="388">
        <f t="shared" si="76"/>
        <v>0</v>
      </c>
      <c r="AZ66" s="388">
        <f t="shared" si="76"/>
        <v>0</v>
      </c>
      <c r="BA66" s="388">
        <f t="shared" si="76"/>
        <v>0</v>
      </c>
      <c r="BB66" s="388">
        <f t="shared" si="76"/>
        <v>0</v>
      </c>
      <c r="BC66" s="4431" t="str">
        <f t="shared" si="74"/>
        <v>Other</v>
      </c>
      <c r="BD66" s="4431"/>
      <c r="BE66" s="4431"/>
      <c r="BF66" s="4432"/>
      <c r="BG66" s="348"/>
      <c r="BH66" s="348"/>
      <c r="BI66" s="348"/>
      <c r="BJ66" s="348"/>
      <c r="BK66" s="348"/>
      <c r="BL66" s="363"/>
      <c r="BM66" s="348"/>
      <c r="BN66" s="3493"/>
    </row>
    <row r="67" spans="1:66" s="342" customFormat="1" ht="15" customHeight="1">
      <c r="A67" s="4519"/>
      <c r="B67" s="2746" t="str">
        <f t="shared" si="77"/>
        <v>Brown sugar (medium)</v>
      </c>
      <c r="C67" s="2159"/>
      <c r="D67" s="50" t="s">
        <v>40</v>
      </c>
      <c r="E67" s="3845"/>
      <c r="F67" s="2149">
        <f>100*IF(C67=0,0,C67/$F$83)</f>
        <v>0</v>
      </c>
      <c r="G67" s="2143">
        <f t="shared" si="78"/>
        <v>0</v>
      </c>
      <c r="H67" s="422" t="s">
        <v>525</v>
      </c>
      <c r="I67" s="2347"/>
      <c r="J67" s="3021"/>
      <c r="K67" s="2116"/>
      <c r="L67" s="2116"/>
      <c r="M67" s="2116"/>
      <c r="N67" s="2116"/>
      <c r="O67" s="2117"/>
      <c r="P67" s="3022">
        <f t="shared" si="82"/>
        <v>0</v>
      </c>
      <c r="Q67" s="2125">
        <f t="shared" si="82"/>
        <v>0</v>
      </c>
      <c r="R67" s="2125">
        <f t="shared" si="82"/>
        <v>0</v>
      </c>
      <c r="S67" s="2125">
        <f t="shared" si="82"/>
        <v>0</v>
      </c>
      <c r="T67" s="2125">
        <f t="shared" si="82"/>
        <v>0</v>
      </c>
      <c r="U67" s="2126">
        <f t="shared" si="82"/>
        <v>0</v>
      </c>
      <c r="V67" s="3023"/>
      <c r="W67" s="2127"/>
      <c r="X67" s="2116"/>
      <c r="Y67" s="2116"/>
      <c r="Z67" s="2116"/>
      <c r="AA67" s="2117"/>
      <c r="AB67" s="51">
        <f t="shared" si="83"/>
        <v>370</v>
      </c>
      <c r="AC67" s="51">
        <f t="shared" si="84"/>
        <v>1</v>
      </c>
      <c r="AD67" s="358">
        <f t="shared" si="85"/>
        <v>45</v>
      </c>
      <c r="AE67" s="612">
        <f t="shared" si="86"/>
        <v>0</v>
      </c>
      <c r="AF67" s="420">
        <f t="shared" si="87"/>
        <v>0</v>
      </c>
      <c r="AG67" s="394">
        <f t="shared" si="88"/>
        <v>0</v>
      </c>
      <c r="AH67" s="421">
        <f t="shared" si="89"/>
        <v>0</v>
      </c>
      <c r="AI67" s="358"/>
      <c r="AJ67" s="358"/>
      <c r="AK67" s="388">
        <f t="shared" si="75"/>
        <v>0</v>
      </c>
      <c r="AL67" s="388">
        <f t="shared" si="75"/>
        <v>0</v>
      </c>
      <c r="AM67" s="388">
        <f t="shared" si="75"/>
        <v>0</v>
      </c>
      <c r="AN67" s="388">
        <f t="shared" si="75"/>
        <v>0</v>
      </c>
      <c r="AO67" s="388">
        <f t="shared" si="75"/>
        <v>0</v>
      </c>
      <c r="AP67" s="388">
        <f t="shared" si="75"/>
        <v>0</v>
      </c>
      <c r="AQ67" s="28">
        <f t="shared" si="75"/>
        <v>0</v>
      </c>
      <c r="AR67" s="298">
        <f t="shared" si="75"/>
        <v>0</v>
      </c>
      <c r="AS67" s="301">
        <f t="shared" si="75"/>
        <v>0</v>
      </c>
      <c r="AT67" s="302">
        <f t="shared" si="75"/>
        <v>0</v>
      </c>
      <c r="AU67" s="298">
        <f t="shared" si="76"/>
        <v>0</v>
      </c>
      <c r="AV67" s="421">
        <f t="shared" si="76"/>
        <v>0</v>
      </c>
      <c r="AW67" s="28">
        <f t="shared" si="76"/>
        <v>0</v>
      </c>
      <c r="AX67" s="388">
        <f t="shared" si="76"/>
        <v>0</v>
      </c>
      <c r="AY67" s="388">
        <f t="shared" si="76"/>
        <v>0</v>
      </c>
      <c r="AZ67" s="388">
        <f t="shared" si="76"/>
        <v>0</v>
      </c>
      <c r="BA67" s="388">
        <f t="shared" si="76"/>
        <v>0</v>
      </c>
      <c r="BB67" s="388">
        <f t="shared" si="76"/>
        <v>0</v>
      </c>
      <c r="BC67" s="4431" t="str">
        <f t="shared" si="74"/>
        <v>Other</v>
      </c>
      <c r="BD67" s="4431"/>
      <c r="BE67" s="4431"/>
      <c r="BF67" s="4432"/>
      <c r="BG67" s="348"/>
      <c r="BH67" s="348"/>
      <c r="BI67" s="348"/>
      <c r="BJ67" s="348"/>
      <c r="BK67" s="348"/>
      <c r="BL67" s="363"/>
      <c r="BM67" s="348"/>
      <c r="BN67" s="3493"/>
    </row>
    <row r="68" spans="1:66" s="342" customFormat="1" ht="15" customHeight="1">
      <c r="A68" s="4519"/>
      <c r="B68" s="2746" t="str">
        <f t="shared" si="77"/>
        <v>Brown sugar (dark)</v>
      </c>
      <c r="C68" s="2159"/>
      <c r="D68" s="50" t="s">
        <v>40</v>
      </c>
      <c r="E68" s="3845"/>
      <c r="F68" s="2149">
        <f t="shared" ref="F68:F77" si="90">100*IF(C68=0,0,C68/$F$83)</f>
        <v>0</v>
      </c>
      <c r="G68" s="2143">
        <f t="shared" si="78"/>
        <v>0</v>
      </c>
      <c r="H68" s="4632" t="s">
        <v>150</v>
      </c>
      <c r="I68" s="4435"/>
      <c r="J68" s="3031">
        <v>0</v>
      </c>
      <c r="K68" s="4433" t="str">
        <f>"ml = "&amp;FIXED(J68/5)&amp;" tsp (5ml)"</f>
        <v>ml = 0.00 tsp (5ml)</v>
      </c>
      <c r="L68" s="4434"/>
      <c r="M68" s="4434"/>
      <c r="N68" s="4434"/>
      <c r="O68" s="4435"/>
      <c r="P68" s="3032">
        <f>J68</f>
        <v>0</v>
      </c>
      <c r="Q68" s="4433" t="str">
        <f>"ml = "&amp;FIXED(P68/5)&amp;" tsp (5ml)"</f>
        <v>ml = 0.00 tsp (5ml)</v>
      </c>
      <c r="R68" s="4434"/>
      <c r="S68" s="4434"/>
      <c r="T68" s="4434"/>
      <c r="U68" s="4435"/>
      <c r="V68" s="3033">
        <f>J68</f>
        <v>0</v>
      </c>
      <c r="W68" s="4433" t="str">
        <f>"ml = "&amp;FIXED(V68/5)&amp;" tsp (5ml)"</f>
        <v>ml = 0.00 tsp (5ml)</v>
      </c>
      <c r="X68" s="4434"/>
      <c r="Y68" s="4434"/>
      <c r="Z68" s="4434"/>
      <c r="AA68" s="4435"/>
      <c r="AB68" s="51">
        <f t="shared" si="83"/>
        <v>370</v>
      </c>
      <c r="AC68" s="51">
        <f t="shared" si="84"/>
        <v>1</v>
      </c>
      <c r="AD68" s="358">
        <f t="shared" si="85"/>
        <v>90</v>
      </c>
      <c r="AE68" s="612">
        <f t="shared" si="86"/>
        <v>0</v>
      </c>
      <c r="AF68" s="420">
        <f t="shared" si="87"/>
        <v>0</v>
      </c>
      <c r="AG68" s="394">
        <f t="shared" si="88"/>
        <v>0</v>
      </c>
      <c r="AH68" s="421">
        <f t="shared" si="89"/>
        <v>0</v>
      </c>
      <c r="AI68" s="358"/>
      <c r="AJ68" s="52" t="s">
        <v>151</v>
      </c>
      <c r="AK68" s="53">
        <f t="shared" ref="AK68:AV68" si="91">SUM(AK27:AK67)</f>
        <v>237</v>
      </c>
      <c r="AL68" s="53">
        <f t="shared" si="91"/>
        <v>0</v>
      </c>
      <c r="AM68" s="53">
        <f t="shared" si="91"/>
        <v>0</v>
      </c>
      <c r="AN68" s="53">
        <f t="shared" si="91"/>
        <v>47.400000000000006</v>
      </c>
      <c r="AO68" s="53">
        <f t="shared" si="91"/>
        <v>47.400000000000006</v>
      </c>
      <c r="AP68" s="53">
        <f t="shared" si="91"/>
        <v>0</v>
      </c>
      <c r="AQ68" s="54">
        <f t="shared" si="91"/>
        <v>237</v>
      </c>
      <c r="AR68" s="303">
        <f t="shared" si="91"/>
        <v>0</v>
      </c>
      <c r="AS68" s="303">
        <f t="shared" si="91"/>
        <v>0</v>
      </c>
      <c r="AT68" s="303">
        <f t="shared" si="91"/>
        <v>47.400000000000006</v>
      </c>
      <c r="AU68" s="303">
        <f t="shared" si="91"/>
        <v>47.400000000000006</v>
      </c>
      <c r="AV68" s="304">
        <f t="shared" si="91"/>
        <v>0</v>
      </c>
      <c r="AW68" s="54">
        <f t="shared" ref="AW68:BB68" si="92">SUM(AW27:AW67)</f>
        <v>150.1</v>
      </c>
      <c r="AX68" s="53">
        <f t="shared" si="92"/>
        <v>0</v>
      </c>
      <c r="AY68" s="53">
        <f t="shared" si="92"/>
        <v>0</v>
      </c>
      <c r="AZ68" s="53">
        <f t="shared" si="92"/>
        <v>47.400000000000006</v>
      </c>
      <c r="BA68" s="53">
        <f t="shared" si="92"/>
        <v>47.400000000000006</v>
      </c>
      <c r="BB68" s="53">
        <f t="shared" si="92"/>
        <v>0</v>
      </c>
      <c r="BC68" s="343"/>
      <c r="BD68" s="348"/>
      <c r="BE68" s="348"/>
      <c r="BF68" s="348"/>
      <c r="BG68" s="348"/>
      <c r="BH68" s="348"/>
      <c r="BI68" s="348"/>
      <c r="BJ68" s="348"/>
      <c r="BK68" s="348"/>
      <c r="BL68" s="363"/>
      <c r="BM68" s="348"/>
      <c r="BN68" s="3493"/>
    </row>
    <row r="69" spans="1:66" s="342" customFormat="1" ht="15" customHeight="1">
      <c r="A69" s="4519"/>
      <c r="B69" s="2746" t="str">
        <f t="shared" si="77"/>
        <v>Brewing/Invert sugar</v>
      </c>
      <c r="C69" s="2159"/>
      <c r="D69" s="50" t="s">
        <v>40</v>
      </c>
      <c r="E69" s="3845"/>
      <c r="F69" s="2149">
        <f t="shared" si="90"/>
        <v>0</v>
      </c>
      <c r="G69" s="2143">
        <f>IF(AF69=0,0,AF69*100/$AF$82)</f>
        <v>0</v>
      </c>
      <c r="H69" s="4540" t="s">
        <v>152</v>
      </c>
      <c r="I69" s="4435"/>
      <c r="J69" s="4541" t="s">
        <v>1817</v>
      </c>
      <c r="K69" s="4542"/>
      <c r="L69" s="4542"/>
      <c r="M69" s="4542"/>
      <c r="N69" s="4542"/>
      <c r="O69" s="4542"/>
      <c r="P69" s="4542"/>
      <c r="Q69" s="4542"/>
      <c r="R69" s="4542"/>
      <c r="S69" s="4542"/>
      <c r="T69" s="4542"/>
      <c r="U69" s="4542"/>
      <c r="V69" s="4542"/>
      <c r="W69" s="4542"/>
      <c r="X69" s="4542"/>
      <c r="Y69" s="4542"/>
      <c r="Z69" s="4542"/>
      <c r="AA69" s="4543"/>
      <c r="AB69" s="51">
        <f t="shared" si="83"/>
        <v>360</v>
      </c>
      <c r="AC69" s="51">
        <f t="shared" si="84"/>
        <v>0.95</v>
      </c>
      <c r="AD69" s="358">
        <f t="shared" si="85"/>
        <v>0</v>
      </c>
      <c r="AE69" s="612">
        <f t="shared" si="86"/>
        <v>0</v>
      </c>
      <c r="AF69" s="420">
        <f t="shared" si="87"/>
        <v>0</v>
      </c>
      <c r="AG69" s="394">
        <f t="shared" si="88"/>
        <v>0</v>
      </c>
      <c r="AH69" s="421">
        <f t="shared" si="89"/>
        <v>0</v>
      </c>
      <c r="AI69" s="358"/>
      <c r="AJ69" s="3539" t="s">
        <v>153</v>
      </c>
      <c r="AK69" s="388">
        <f>SUM(J27:O67)</f>
        <v>42</v>
      </c>
      <c r="AL69" s="388"/>
      <c r="AM69" s="388"/>
      <c r="AN69" s="388"/>
      <c r="AO69" s="388"/>
      <c r="AP69" s="388"/>
      <c r="AQ69" s="28">
        <f>SUM(P27:U67)</f>
        <v>42</v>
      </c>
      <c r="AR69" s="413"/>
      <c r="AS69" s="413"/>
      <c r="AT69" s="413"/>
      <c r="AU69" s="413"/>
      <c r="AV69" s="55"/>
      <c r="AW69" s="28">
        <f>SUM(V27:AA67)</f>
        <v>31</v>
      </c>
      <c r="AX69" s="358"/>
      <c r="AY69" s="358"/>
      <c r="AZ69" s="358"/>
      <c r="BA69" s="358"/>
      <c r="BB69" s="358"/>
      <c r="BC69" s="343"/>
      <c r="BD69" s="344"/>
      <c r="BE69" s="344"/>
      <c r="BF69" s="348"/>
      <c r="BG69" s="348"/>
      <c r="BH69" s="348"/>
      <c r="BI69" s="348"/>
      <c r="BJ69" s="348"/>
      <c r="BK69" s="348"/>
      <c r="BL69" s="363"/>
      <c r="BM69" s="348"/>
      <c r="BN69" s="3493"/>
    </row>
    <row r="70" spans="1:66" s="342" customFormat="1" ht="15" customHeight="1">
      <c r="A70" s="4519"/>
      <c r="B70" s="2746" t="str">
        <f t="shared" si="77"/>
        <v>Honey (1 lb = 454g)</v>
      </c>
      <c r="C70" s="2159"/>
      <c r="D70" s="50" t="s">
        <v>40</v>
      </c>
      <c r="E70" s="3845"/>
      <c r="F70" s="2149">
        <f t="shared" si="90"/>
        <v>0</v>
      </c>
      <c r="G70" s="2143">
        <f t="shared" si="78"/>
        <v>0</v>
      </c>
      <c r="H70" s="4544" t="s">
        <v>154</v>
      </c>
      <c r="I70" s="4515"/>
      <c r="J70" s="2134">
        <v>7</v>
      </c>
      <c r="K70" s="4545" t="s">
        <v>760</v>
      </c>
      <c r="L70" s="4117"/>
      <c r="M70" s="4117"/>
      <c r="N70" s="4117"/>
      <c r="O70" s="4515"/>
      <c r="P70" s="2132">
        <v>6.3</v>
      </c>
      <c r="Q70" s="4546" t="s">
        <v>761</v>
      </c>
      <c r="R70" s="4117"/>
      <c r="S70" s="4117"/>
      <c r="T70" s="4117"/>
      <c r="U70" s="4515"/>
      <c r="V70" s="2130">
        <v>3</v>
      </c>
      <c r="W70" s="4551" t="s">
        <v>930</v>
      </c>
      <c r="X70" s="4117"/>
      <c r="Y70" s="4117"/>
      <c r="Z70" s="4117"/>
      <c r="AA70" s="4515"/>
      <c r="AB70" s="51">
        <f t="shared" si="83"/>
        <v>300</v>
      </c>
      <c r="AC70" s="51">
        <f t="shared" si="84"/>
        <v>0.95</v>
      </c>
      <c r="AD70" s="358">
        <f t="shared" si="85"/>
        <v>10</v>
      </c>
      <c r="AE70" s="612">
        <f t="shared" si="86"/>
        <v>0</v>
      </c>
      <c r="AF70" s="420">
        <f t="shared" si="87"/>
        <v>0</v>
      </c>
      <c r="AG70" s="394">
        <f t="shared" si="88"/>
        <v>0</v>
      </c>
      <c r="AH70" s="421">
        <f t="shared" si="89"/>
        <v>0</v>
      </c>
      <c r="AI70" s="358"/>
      <c r="AJ70" s="358"/>
      <c r="AK70" s="358"/>
      <c r="AL70" s="358"/>
      <c r="AM70" s="358"/>
      <c r="AN70" s="358"/>
      <c r="AO70" s="358"/>
      <c r="AP70" s="358"/>
      <c r="AQ70" s="358"/>
      <c r="AR70" s="358"/>
      <c r="AS70" s="358"/>
      <c r="AT70" s="358"/>
      <c r="AU70" s="358"/>
      <c r="AV70" s="358"/>
      <c r="AW70" s="28">
        <f>SUM(C52:C62)/1000</f>
        <v>0.44</v>
      </c>
      <c r="AX70" s="358" t="s">
        <v>155</v>
      </c>
      <c r="AY70" s="358"/>
      <c r="AZ70" s="358"/>
      <c r="BA70" s="358"/>
      <c r="BB70" s="358"/>
      <c r="BC70" s="343"/>
      <c r="BD70" s="344"/>
      <c r="BE70" s="344"/>
      <c r="BF70" s="348"/>
      <c r="BG70" s="348"/>
      <c r="BH70" s="348"/>
      <c r="BI70" s="348"/>
      <c r="BJ70" s="348"/>
      <c r="BK70" s="348"/>
      <c r="BL70" s="363"/>
      <c r="BM70" s="107"/>
      <c r="BN70" s="107"/>
    </row>
    <row r="71" spans="1:66" s="342" customFormat="1" ht="15" customHeight="1">
      <c r="A71" s="4519"/>
      <c r="B71" s="2746" t="str">
        <f t="shared" si="77"/>
        <v>Belgian candi sugar white dry</v>
      </c>
      <c r="C71" s="2159"/>
      <c r="D71" s="50" t="s">
        <v>40</v>
      </c>
      <c r="E71" s="3845"/>
      <c r="F71" s="2149">
        <f t="shared" si="90"/>
        <v>0</v>
      </c>
      <c r="G71" s="2143">
        <f t="shared" si="78"/>
        <v>0</v>
      </c>
      <c r="H71" s="4633" t="s">
        <v>160</v>
      </c>
      <c r="I71" s="4174"/>
      <c r="J71" s="2135">
        <f>1000+SUM($AF25:$AF77)/$J77</f>
        <v>1101.3797068123024</v>
      </c>
      <c r="K71" s="4532"/>
      <c r="L71" s="4456"/>
      <c r="M71" s="4456"/>
      <c r="N71" s="4456"/>
      <c r="O71" s="4533"/>
      <c r="P71" s="2133">
        <f>1000+SUM($AF25:$AF62)/$P77</f>
        <v>1106.1281559603708</v>
      </c>
      <c r="Q71" s="4532"/>
      <c r="R71" s="4456"/>
      <c r="S71" s="4456"/>
      <c r="T71" s="4456"/>
      <c r="U71" s="4533"/>
      <c r="V71" s="2131">
        <f>1000+SUM($AF52:$AF62)/$V$77</f>
        <v>1029.4543617379588</v>
      </c>
      <c r="W71" s="4532"/>
      <c r="X71" s="4456"/>
      <c r="Y71" s="4456"/>
      <c r="Z71" s="4456"/>
      <c r="AA71" s="4533"/>
      <c r="AB71" s="51">
        <f t="shared" si="83"/>
        <v>373</v>
      </c>
      <c r="AC71" s="51">
        <f t="shared" si="84"/>
        <v>1</v>
      </c>
      <c r="AD71" s="358">
        <f t="shared" si="85"/>
        <v>0</v>
      </c>
      <c r="AE71" s="612">
        <f t="shared" si="86"/>
        <v>0</v>
      </c>
      <c r="AF71" s="420">
        <f t="shared" si="87"/>
        <v>0</v>
      </c>
      <c r="AG71" s="394">
        <f t="shared" si="88"/>
        <v>0</v>
      </c>
      <c r="AH71" s="421">
        <f t="shared" si="89"/>
        <v>0</v>
      </c>
      <c r="AI71" s="358"/>
      <c r="AJ71" s="358"/>
      <c r="AK71" s="413"/>
      <c r="AL71" s="423"/>
      <c r="AM71" s="423"/>
      <c r="AN71" s="423"/>
      <c r="AO71" s="423"/>
      <c r="AP71" s="423"/>
      <c r="AQ71" s="423"/>
      <c r="AR71" s="423"/>
      <c r="AS71" s="423"/>
      <c r="AT71" s="423"/>
      <c r="AU71" s="423"/>
      <c r="AV71" s="423"/>
      <c r="AW71" s="423"/>
      <c r="AX71" s="423"/>
      <c r="AY71" s="580">
        <v>1</v>
      </c>
      <c r="AZ71" s="294">
        <f>V85*60+W85</f>
        <v>540</v>
      </c>
      <c r="BA71" s="295">
        <f>X85*60+Y85</f>
        <v>540</v>
      </c>
      <c r="BB71" s="296">
        <f>Z85*60+AA85</f>
        <v>540</v>
      </c>
      <c r="BC71" s="343"/>
      <c r="BD71" s="344"/>
      <c r="BE71" s="344"/>
      <c r="BF71" s="348"/>
      <c r="BG71" s="348"/>
      <c r="BH71" s="348"/>
      <c r="BI71" s="348"/>
      <c r="BJ71" s="348"/>
      <c r="BK71" s="348"/>
      <c r="BL71" s="363"/>
      <c r="BM71" s="107"/>
      <c r="BN71" s="107"/>
    </row>
    <row r="72" spans="1:66" s="342" customFormat="1" ht="15" customHeight="1">
      <c r="A72" s="4519"/>
      <c r="B72" s="2746" t="str">
        <f t="shared" si="77"/>
        <v>Belgian candi sugar light brown dry</v>
      </c>
      <c r="C72" s="2159"/>
      <c r="D72" s="50" t="s">
        <v>40</v>
      </c>
      <c r="E72" s="3845"/>
      <c r="F72" s="2149">
        <f t="shared" si="90"/>
        <v>0</v>
      </c>
      <c r="G72" s="2143">
        <f t="shared" si="78"/>
        <v>0</v>
      </c>
      <c r="H72" s="4562" t="s">
        <v>163</v>
      </c>
      <c r="I72" s="4174"/>
      <c r="J72" s="3034">
        <v>90</v>
      </c>
      <c r="K72" s="1868">
        <v>60</v>
      </c>
      <c r="L72" s="1868">
        <v>45</v>
      </c>
      <c r="M72" s="1868">
        <v>30</v>
      </c>
      <c r="N72" s="1868">
        <v>7</v>
      </c>
      <c r="O72" s="1868">
        <v>0</v>
      </c>
      <c r="P72" s="3035">
        <v>60</v>
      </c>
      <c r="Q72" s="1869">
        <f>K72</f>
        <v>60</v>
      </c>
      <c r="R72" s="1869">
        <f>L72</f>
        <v>45</v>
      </c>
      <c r="S72" s="1869">
        <f>M72</f>
        <v>30</v>
      </c>
      <c r="T72" s="1869">
        <f>N72</f>
        <v>7</v>
      </c>
      <c r="U72" s="1869">
        <f>O72</f>
        <v>0</v>
      </c>
      <c r="V72" s="3036">
        <v>45</v>
      </c>
      <c r="W72" s="1868">
        <f>Q72</f>
        <v>60</v>
      </c>
      <c r="X72" s="1868">
        <f>R72</f>
        <v>45</v>
      </c>
      <c r="Y72" s="1868">
        <v>22</v>
      </c>
      <c r="Z72" s="1868">
        <f>T72</f>
        <v>7</v>
      </c>
      <c r="AA72" s="1868">
        <f>U72</f>
        <v>0</v>
      </c>
      <c r="AB72" s="51">
        <f t="shared" si="83"/>
        <v>373</v>
      </c>
      <c r="AC72" s="51">
        <f t="shared" si="84"/>
        <v>1</v>
      </c>
      <c r="AD72" s="358">
        <f t="shared" si="85"/>
        <v>13</v>
      </c>
      <c r="AE72" s="612">
        <f t="shared" si="86"/>
        <v>0</v>
      </c>
      <c r="AF72" s="420">
        <f t="shared" si="87"/>
        <v>0</v>
      </c>
      <c r="AG72" s="394">
        <f t="shared" si="88"/>
        <v>0</v>
      </c>
      <c r="AH72" s="421">
        <f t="shared" si="89"/>
        <v>0</v>
      </c>
      <c r="AI72" s="358"/>
      <c r="AJ72" s="358"/>
      <c r="AK72" s="413"/>
      <c r="AL72" s="424"/>
      <c r="AM72" s="424"/>
      <c r="AN72" s="424"/>
      <c r="AO72" s="424"/>
      <c r="AP72" s="425"/>
      <c r="AQ72" s="358"/>
      <c r="AR72" s="358"/>
      <c r="AS72" s="358"/>
      <c r="AT72" s="358"/>
      <c r="AU72" s="358"/>
      <c r="AV72" s="358"/>
      <c r="AW72" s="358"/>
      <c r="AX72" s="358"/>
      <c r="AY72" s="580">
        <v>2</v>
      </c>
      <c r="AZ72" s="103">
        <f>AZ77-K72</f>
        <v>570</v>
      </c>
      <c r="BA72" s="462">
        <f>BA77-Q72</f>
        <v>540</v>
      </c>
      <c r="BB72" s="464">
        <f>BB77-W72</f>
        <v>525</v>
      </c>
      <c r="BC72" s="343"/>
      <c r="BD72" s="344"/>
      <c r="BE72" s="344"/>
      <c r="BF72" s="348"/>
      <c r="BG72" s="348"/>
      <c r="BH72" s="348"/>
      <c r="BI72" s="348"/>
      <c r="BJ72" s="348"/>
      <c r="BK72" s="348"/>
      <c r="BL72" s="363"/>
      <c r="BM72" s="107"/>
      <c r="BN72" s="107"/>
    </row>
    <row r="73" spans="1:66" s="342" customFormat="1" ht="15" customHeight="1">
      <c r="A73" s="4519"/>
      <c r="B73" s="2746" t="str">
        <f t="shared" si="77"/>
        <v>Belgian candi sugar dark brown dry</v>
      </c>
      <c r="C73" s="2159"/>
      <c r="D73" s="50" t="s">
        <v>40</v>
      </c>
      <c r="E73" s="3845"/>
      <c r="F73" s="2149">
        <f t="shared" si="90"/>
        <v>0</v>
      </c>
      <c r="G73" s="2143">
        <f t="shared" si="78"/>
        <v>0</v>
      </c>
      <c r="H73" s="4564" t="s">
        <v>165</v>
      </c>
      <c r="I73" s="4174"/>
      <c r="J73" s="3037">
        <f t="shared" ref="J73:O73" si="93">J74*AK68/($J77*10)</f>
        <v>52.963170441855247</v>
      </c>
      <c r="K73" s="2136">
        <f t="shared" si="93"/>
        <v>0</v>
      </c>
      <c r="L73" s="2136">
        <f t="shared" si="93"/>
        <v>0</v>
      </c>
      <c r="M73" s="2136">
        <f t="shared" si="93"/>
        <v>7.6101311226321062</v>
      </c>
      <c r="N73" s="2140">
        <f>N74*AO68/($J77*10)</f>
        <v>2.6595626159396506</v>
      </c>
      <c r="O73" s="2137">
        <f t="shared" si="93"/>
        <v>0</v>
      </c>
      <c r="P73" s="3038">
        <f t="shared" ref="P73:U73" si="94">P74*AQ68/($P77*10)</f>
        <v>52.749640976494241</v>
      </c>
      <c r="Q73" s="2136">
        <f t="shared" si="94"/>
        <v>0</v>
      </c>
      <c r="R73" s="2136">
        <f t="shared" si="94"/>
        <v>0</v>
      </c>
      <c r="S73" s="2136">
        <f t="shared" si="94"/>
        <v>8.1078812822222286</v>
      </c>
      <c r="T73" s="2140">
        <f t="shared" si="94"/>
        <v>2.8335146405752032</v>
      </c>
      <c r="U73" s="2136">
        <f t="shared" si="94"/>
        <v>0</v>
      </c>
      <c r="V73" s="3039">
        <f t="shared" ref="V73:AA73" si="95">V74*AW68/($V77*10)</f>
        <v>128.75802596318505</v>
      </c>
      <c r="W73" s="2136">
        <f t="shared" si="95"/>
        <v>0</v>
      </c>
      <c r="X73" s="2136">
        <f t="shared" si="95"/>
        <v>0</v>
      </c>
      <c r="Y73" s="2136">
        <f t="shared" si="95"/>
        <v>28.507423412508349</v>
      </c>
      <c r="Z73" s="2136">
        <f t="shared" si="95"/>
        <v>11.896399516536688</v>
      </c>
      <c r="AA73" s="2141">
        <f t="shared" si="95"/>
        <v>0</v>
      </c>
      <c r="AB73" s="51">
        <f t="shared" si="83"/>
        <v>373</v>
      </c>
      <c r="AC73" s="51">
        <f t="shared" si="84"/>
        <v>1</v>
      </c>
      <c r="AD73" s="358">
        <f t="shared" si="85"/>
        <v>43</v>
      </c>
      <c r="AE73" s="612">
        <f t="shared" si="86"/>
        <v>0</v>
      </c>
      <c r="AF73" s="420">
        <f t="shared" si="87"/>
        <v>0</v>
      </c>
      <c r="AG73" s="394">
        <f t="shared" si="88"/>
        <v>0</v>
      </c>
      <c r="AH73" s="421">
        <f t="shared" si="89"/>
        <v>0</v>
      </c>
      <c r="AI73" s="358"/>
      <c r="AJ73" s="358"/>
      <c r="AK73" s="358"/>
      <c r="AL73" s="425"/>
      <c r="AM73" s="425"/>
      <c r="AN73" s="425"/>
      <c r="AO73" s="425"/>
      <c r="AP73" s="425"/>
      <c r="AQ73" s="358"/>
      <c r="AR73" s="358"/>
      <c r="AS73" s="358"/>
      <c r="AT73" s="358"/>
      <c r="AU73" s="358"/>
      <c r="AV73" s="358"/>
      <c r="AW73" s="358"/>
      <c r="AX73" s="358"/>
      <c r="AY73" s="580">
        <v>3</v>
      </c>
      <c r="AZ73" s="103">
        <f>AZ77-L72</f>
        <v>585</v>
      </c>
      <c r="BA73" s="462">
        <f>BA77-R72</f>
        <v>555</v>
      </c>
      <c r="BB73" s="464">
        <f>BB77-X72</f>
        <v>540</v>
      </c>
      <c r="BC73" s="343"/>
      <c r="BD73" s="344"/>
      <c r="BE73" s="344"/>
      <c r="BF73" s="348"/>
      <c r="BG73" s="348"/>
      <c r="BH73" s="348"/>
      <c r="BI73" s="348"/>
      <c r="BJ73" s="348"/>
      <c r="BK73" s="348"/>
      <c r="BL73" s="363"/>
      <c r="BM73" s="107"/>
      <c r="BN73" s="107"/>
    </row>
    <row r="74" spans="1:66" s="342" customFormat="1" ht="15" customHeight="1">
      <c r="A74" s="4519"/>
      <c r="B74" s="2746" t="str">
        <f t="shared" si="77"/>
        <v>Belgian candi sugar light syrup</v>
      </c>
      <c r="C74" s="2159"/>
      <c r="D74" s="50" t="s">
        <v>40</v>
      </c>
      <c r="E74" s="3845"/>
      <c r="F74" s="2149">
        <f t="shared" si="90"/>
        <v>0</v>
      </c>
      <c r="G74" s="2143">
        <f t="shared" si="78"/>
        <v>0</v>
      </c>
      <c r="H74" s="4565" t="s">
        <v>1678</v>
      </c>
      <c r="I74" s="4533"/>
      <c r="J74" s="3040">
        <f>165*POWER(0.000125,0.001*($J71-1000))*(1-EXP(-$K87*$J72))/$L87</f>
        <v>15.549271727191089</v>
      </c>
      <c r="K74" s="2136">
        <f>165*POWER(0.000125,0.001*($J71-1000))*(1-EXP(-$K87*$K72))/$L87</f>
        <v>14.535847071887941</v>
      </c>
      <c r="L74" s="2136">
        <f>165*POWER(0.000125,0.001*($J71-1000))*(1-EXP(-$K87*$L72))/$L87</f>
        <v>13.343590974261984</v>
      </c>
      <c r="M74" s="2136">
        <f>165*POWER(0.000125,0.001*($J71-1000))*(1-EXP(-$K87*$M72))/$L87</f>
        <v>11.171158723897507</v>
      </c>
      <c r="N74" s="2136">
        <f>165*POWER(0.000125,0.001*($J71-1000))*(1-EXP(-$K87*$N72))/$L87</f>
        <v>3.9040583716683726</v>
      </c>
      <c r="O74" s="2137">
        <f>165*POWER(0.000125,0.001*($J71-1000))*(1-EXP(-$K87*$O72))/$L87</f>
        <v>0</v>
      </c>
      <c r="P74" s="3041">
        <f>165*POWER(0.000125,0.001*($P71-1000))*(1-EXP(-$K87*$P72))/$L87</f>
        <v>13.928576085692024</v>
      </c>
      <c r="Q74" s="2136">
        <f>165*POWER(0.000125,0.001*($P71-1000))*(1-EXP(-$K87*$Q72))/$L87</f>
        <v>13.928576085692024</v>
      </c>
      <c r="R74" s="2136">
        <f>165*POWER(0.000125,0.001*($P71-1000))*(1-EXP(-$K87*$R72))/$L87</f>
        <v>12.786129437258998</v>
      </c>
      <c r="S74" s="2136">
        <f>165*POWER(0.000125,0.001*($P71-1000))*(1-EXP(-$K87*$S72))/$L87</f>
        <v>10.704455920706055</v>
      </c>
      <c r="T74" s="2136">
        <f>165*POWER(0.000125,0.001*($P71-1000))*(1-EXP(-$K87*$T72))/$L87</f>
        <v>3.7409566710378943</v>
      </c>
      <c r="U74" s="2138">
        <f>165*POWER(0.000125,0.001*($P71-1000))*(1-EXP(-$K87*$U72))/$L87</f>
        <v>0</v>
      </c>
      <c r="V74" s="3042">
        <f>165*POWER(0.000125,0.001*($V71-1000))*(1-EXP(-$K87*$V72))/$L87</f>
        <v>25.468526254809888</v>
      </c>
      <c r="W74" s="2136">
        <f>165*POWER(0.000125,0.001*($V71-1000))*(1-EXP(-$K87*$W72))/$L87</f>
        <v>27.744150993563785</v>
      </c>
      <c r="X74" s="2136">
        <f>165*POWER(0.000125,0.001*($V71-1000))*(1-EXP(-$K87*$X72))/$L87</f>
        <v>25.468526254809888</v>
      </c>
      <c r="Y74" s="2136">
        <f>165*POWER(0.000125,0.001*($V71-1000))*(1-EXP(-$K87*$Y72))/$L87</f>
        <v>17.856232091083811</v>
      </c>
      <c r="Z74" s="2136">
        <f>165*POWER(0.000125,0.001*($V71-1000))*(1-EXP(-$K87*$Z72))/$L87</f>
        <v>7.4515633258644343</v>
      </c>
      <c r="AA74" s="3043">
        <f>165*POWER(0.000125,0.001*($V71-1000))*(1-EXP(-$K87*$AA72))/$L87</f>
        <v>0</v>
      </c>
      <c r="AB74" s="51">
        <f t="shared" si="83"/>
        <v>300</v>
      </c>
      <c r="AC74" s="51">
        <f t="shared" si="84"/>
        <v>1</v>
      </c>
      <c r="AD74" s="358">
        <f t="shared" si="85"/>
        <v>2</v>
      </c>
      <c r="AE74" s="612">
        <f t="shared" si="86"/>
        <v>0</v>
      </c>
      <c r="AF74" s="420">
        <f t="shared" si="87"/>
        <v>0</v>
      </c>
      <c r="AG74" s="394">
        <f t="shared" si="88"/>
        <v>0</v>
      </c>
      <c r="AH74" s="421">
        <f t="shared" si="89"/>
        <v>0</v>
      </c>
      <c r="AI74" s="413"/>
      <c r="AJ74" s="413"/>
      <c r="AK74" s="413"/>
      <c r="AL74" s="424"/>
      <c r="AM74" s="424"/>
      <c r="AN74" s="424"/>
      <c r="AO74" s="424"/>
      <c r="AP74" s="425"/>
      <c r="AQ74" s="358"/>
      <c r="AR74" s="358"/>
      <c r="AS74" s="358"/>
      <c r="AT74" s="358"/>
      <c r="AU74" s="358"/>
      <c r="AV74" s="358"/>
      <c r="AW74" s="358"/>
      <c r="AX74" s="358"/>
      <c r="AY74" s="580">
        <v>4</v>
      </c>
      <c r="AZ74" s="103">
        <f>AZ77-M72</f>
        <v>600</v>
      </c>
      <c r="BA74" s="462">
        <f>BA77-S72</f>
        <v>570</v>
      </c>
      <c r="BB74" s="464">
        <f>BB77-Y72</f>
        <v>563</v>
      </c>
      <c r="BC74" s="343"/>
      <c r="BD74" s="344"/>
      <c r="BE74" s="344"/>
      <c r="BF74" s="348"/>
      <c r="BG74" s="348"/>
      <c r="BH74" s="348"/>
      <c r="BI74" s="348"/>
      <c r="BJ74" s="348"/>
      <c r="BK74" s="348"/>
      <c r="BL74" s="363"/>
      <c r="BM74" s="107"/>
      <c r="BN74" s="107"/>
    </row>
    <row r="75" spans="1:66" s="342" customFormat="1" ht="15" customHeight="1">
      <c r="A75" s="4519"/>
      <c r="B75" s="2746" t="str">
        <f t="shared" si="77"/>
        <v>Belgian candi sugar amber syrup</v>
      </c>
      <c r="C75" s="2159"/>
      <c r="D75" s="50" t="s">
        <v>40</v>
      </c>
      <c r="E75" s="3845"/>
      <c r="F75" s="2149">
        <f t="shared" si="90"/>
        <v>0</v>
      </c>
      <c r="G75" s="2143">
        <f t="shared" si="78"/>
        <v>0</v>
      </c>
      <c r="H75" s="4552" t="s">
        <v>168</v>
      </c>
      <c r="I75" s="4515"/>
      <c r="J75" s="3044">
        <f t="shared" ref="J75:O75" si="96">J73*$J77/$C$4</f>
        <v>24.567849328961923</v>
      </c>
      <c r="K75" s="3045">
        <f t="shared" si="96"/>
        <v>0</v>
      </c>
      <c r="L75" s="3045">
        <f t="shared" si="96"/>
        <v>0</v>
      </c>
      <c r="M75" s="3045">
        <f t="shared" si="96"/>
        <v>3.5300861567516133</v>
      </c>
      <c r="N75" s="3045">
        <f t="shared" si="96"/>
        <v>1.233682445447206</v>
      </c>
      <c r="O75" s="2139">
        <f t="shared" si="96"/>
        <v>0</v>
      </c>
      <c r="P75" s="3044">
        <f t="shared" ref="P75:U75" si="97">P73*$P77/$C$4</f>
        <v>22.007150215393395</v>
      </c>
      <c r="Q75" s="3045">
        <f t="shared" si="97"/>
        <v>0</v>
      </c>
      <c r="R75" s="3045">
        <f t="shared" si="97"/>
        <v>0</v>
      </c>
      <c r="S75" s="3045">
        <f t="shared" si="97"/>
        <v>3.3826080709431139</v>
      </c>
      <c r="T75" s="3046">
        <f t="shared" si="97"/>
        <v>1.1821423080479747</v>
      </c>
      <c r="U75" s="3047">
        <f t="shared" si="97"/>
        <v>0</v>
      </c>
      <c r="V75" s="3044">
        <f t="shared" ref="V75:AA75" si="98">V73*$V77/$C$4</f>
        <v>25.485505272313095</v>
      </c>
      <c r="W75" s="3045">
        <f t="shared" si="98"/>
        <v>0</v>
      </c>
      <c r="X75" s="3045">
        <f t="shared" si="98"/>
        <v>0</v>
      </c>
      <c r="Y75" s="3045">
        <f t="shared" si="98"/>
        <v>5.6425693407824857</v>
      </c>
      <c r="Z75" s="3045">
        <f t="shared" si="98"/>
        <v>2.3546940109731618</v>
      </c>
      <c r="AA75" s="2139">
        <f t="shared" si="98"/>
        <v>0</v>
      </c>
      <c r="AB75" s="51">
        <f t="shared" si="83"/>
        <v>300</v>
      </c>
      <c r="AC75" s="51">
        <f t="shared" si="84"/>
        <v>1</v>
      </c>
      <c r="AD75" s="358">
        <f t="shared" si="85"/>
        <v>89</v>
      </c>
      <c r="AE75" s="612">
        <f t="shared" si="86"/>
        <v>0</v>
      </c>
      <c r="AF75" s="420">
        <f t="shared" si="87"/>
        <v>0</v>
      </c>
      <c r="AG75" s="394">
        <f t="shared" si="88"/>
        <v>0</v>
      </c>
      <c r="AH75" s="421">
        <f t="shared" si="89"/>
        <v>0</v>
      </c>
      <c r="AI75" s="413"/>
      <c r="AJ75" s="413"/>
      <c r="AK75" s="413"/>
      <c r="AL75" s="427"/>
      <c r="AM75" s="427"/>
      <c r="AN75" s="427"/>
      <c r="AO75" s="427"/>
      <c r="AP75" s="425"/>
      <c r="AQ75" s="358"/>
      <c r="AR75" s="358"/>
      <c r="AS75" s="358"/>
      <c r="AT75" s="358"/>
      <c r="AU75" s="358"/>
      <c r="AV75" s="358"/>
      <c r="AW75" s="358"/>
      <c r="AX75" s="358"/>
      <c r="AY75" s="580">
        <v>5</v>
      </c>
      <c r="AZ75" s="103">
        <f>AZ77-N72</f>
        <v>623</v>
      </c>
      <c r="BA75" s="462">
        <f>BA77-T72</f>
        <v>593</v>
      </c>
      <c r="BB75" s="464">
        <f>BB77-Z72</f>
        <v>578</v>
      </c>
      <c r="BC75" s="344"/>
      <c r="BD75" s="362"/>
      <c r="BE75" s="344"/>
      <c r="BF75" s="348"/>
      <c r="BG75" s="348"/>
      <c r="BH75" s="348"/>
      <c r="BI75" s="348"/>
      <c r="BJ75" s="348"/>
      <c r="BK75" s="348"/>
      <c r="BL75" s="363"/>
      <c r="BM75" s="107"/>
      <c r="BN75" s="107"/>
    </row>
    <row r="76" spans="1:66" s="342" customFormat="1" ht="15" customHeight="1">
      <c r="A76" s="4519"/>
      <c r="B76" s="2746" t="str">
        <f t="shared" si="77"/>
        <v>Belgian candi sugar dark syrup</v>
      </c>
      <c r="C76" s="2159"/>
      <c r="D76" s="50" t="s">
        <v>40</v>
      </c>
      <c r="E76" s="3845"/>
      <c r="F76" s="2149">
        <f t="shared" si="90"/>
        <v>0</v>
      </c>
      <c r="G76" s="2143">
        <f t="shared" si="78"/>
        <v>0</v>
      </c>
      <c r="H76" s="4575" t="s">
        <v>169</v>
      </c>
      <c r="I76" s="4576"/>
      <c r="J76" s="4577" t="str">
        <f>FIXED((SUM(J75:O75)),1)&amp;" ̸ "&amp;FIXED(J68*('Beer Data Sheet'!$T$16/$C4),1)&amp;" EBU"</f>
        <v>29.3 ̸ 0.0 EBU</v>
      </c>
      <c r="K76" s="4578"/>
      <c r="L76" s="4578"/>
      <c r="M76" s="4578"/>
      <c r="N76" s="4578"/>
      <c r="O76" s="4578"/>
      <c r="P76" s="4578" t="str">
        <f>FIXED((SUM(P75:U75)),1)&amp;" ̸ "&amp;FIXED(P68*('Beer Data Sheet'!$T$16/C4),1)&amp;" EBU"</f>
        <v>26.6 ̸ 0.0 EBU</v>
      </c>
      <c r="Q76" s="4578"/>
      <c r="R76" s="4578"/>
      <c r="S76" s="4578"/>
      <c r="T76" s="4578"/>
      <c r="U76" s="4578"/>
      <c r="V76" s="4578" t="str">
        <f>FIXED((SUM(V75:AA75)),1)&amp;" ̸ "&amp;FIXED(V68*('Beer Data Sheet'!$T$16/C4),1)&amp;" EBU"</f>
        <v>33.5 ̸ 0.0 EBU</v>
      </c>
      <c r="W76" s="4456"/>
      <c r="X76" s="4456"/>
      <c r="Y76" s="4456"/>
      <c r="Z76" s="4456"/>
      <c r="AA76" s="4533"/>
      <c r="AB76" s="51">
        <f t="shared" si="83"/>
        <v>300</v>
      </c>
      <c r="AC76" s="51">
        <f t="shared" si="84"/>
        <v>1</v>
      </c>
      <c r="AD76" s="358">
        <f t="shared" si="85"/>
        <v>178</v>
      </c>
      <c r="AE76" s="612">
        <f t="shared" si="86"/>
        <v>0</v>
      </c>
      <c r="AF76" s="420">
        <f t="shared" si="87"/>
        <v>0</v>
      </c>
      <c r="AG76" s="394">
        <f t="shared" si="88"/>
        <v>0</v>
      </c>
      <c r="AH76" s="421">
        <f t="shared" si="89"/>
        <v>0</v>
      </c>
      <c r="AI76" s="413"/>
      <c r="AJ76" s="413"/>
      <c r="AK76" s="358"/>
      <c r="AL76" s="425"/>
      <c r="AM76" s="425"/>
      <c r="AN76" s="425"/>
      <c r="AO76" s="425"/>
      <c r="AP76" s="425"/>
      <c r="AQ76" s="425"/>
      <c r="AR76" s="425"/>
      <c r="AS76" s="425"/>
      <c r="AT76" s="425"/>
      <c r="AU76" s="425"/>
      <c r="AV76" s="425"/>
      <c r="AW76" s="358"/>
      <c r="AX76" s="425"/>
      <c r="AY76" s="580" t="s">
        <v>305</v>
      </c>
      <c r="AZ76" s="103">
        <f>AZ77-O72</f>
        <v>630</v>
      </c>
      <c r="BA76" s="463">
        <f>BA77-U72</f>
        <v>600</v>
      </c>
      <c r="BB76" s="464">
        <f>BB77-AA72</f>
        <v>585</v>
      </c>
      <c r="BC76" s="358"/>
      <c r="BD76" s="362"/>
      <c r="BE76" s="344"/>
      <c r="BF76" s="348"/>
      <c r="BG76" s="348"/>
      <c r="BH76" s="348"/>
      <c r="BI76" s="348"/>
      <c r="BJ76" s="348"/>
      <c r="BK76" s="348"/>
      <c r="BL76" s="363"/>
      <c r="BM76" s="363"/>
      <c r="BN76" s="107"/>
    </row>
    <row r="77" spans="1:66" s="342" customFormat="1" ht="15" customHeight="1">
      <c r="A77" s="4519"/>
      <c r="B77" s="2746" t="str">
        <f t="shared" si="77"/>
        <v>Other 1</v>
      </c>
      <c r="C77" s="2159"/>
      <c r="D77" s="50" t="s">
        <v>40</v>
      </c>
      <c r="E77" s="3845"/>
      <c r="F77" s="2149">
        <f t="shared" si="90"/>
        <v>0</v>
      </c>
      <c r="G77" s="2143">
        <f t="shared" si="78"/>
        <v>0</v>
      </c>
      <c r="H77" s="4569" t="s">
        <v>171</v>
      </c>
      <c r="I77" s="4435"/>
      <c r="J77" s="3048">
        <f>J70-0.001*$AK$69</f>
        <v>6.9580000000000002</v>
      </c>
      <c r="K77" s="3049"/>
      <c r="L77" s="4570" t="str">
        <f>FIXED((SUM(J75:O75)),1)+FIXED(J68*('Beer Data Sheet'!$T$16/$C4),1)&amp;" EBU"</f>
        <v>29.3 EBU</v>
      </c>
      <c r="M77" s="4570"/>
      <c r="N77" s="3050"/>
      <c r="O77" s="3051">
        <f>(SUM(J75:O75)+SUM($E$42:$E$45)+SUM($E$48:$E$49)+J68*'Beer Data Sheet'!$T$16*$C4)/$AF88</f>
        <v>0.60107570696516521</v>
      </c>
      <c r="P77" s="3052">
        <f>P70-0.001*$AQ$69</f>
        <v>6.258</v>
      </c>
      <c r="Q77" s="3049"/>
      <c r="R77" s="4571" t="str">
        <f>FIXED((SUM(P75:U75)),1)+FIXED(P68*('Beer Data Sheet'!$T$16/C4),1)&amp;" EBU"</f>
        <v>26.6 EBU</v>
      </c>
      <c r="S77" s="4571"/>
      <c r="T77" s="3053"/>
      <c r="U77" s="3051">
        <f>(SUM(P75:U75)+SUM($E$42:$E$45)+SUM($E$48:$E$49)+P68*'Beer Data Sheet'!$T$16*$C4)/$AF88</f>
        <v>0.54452243216389451</v>
      </c>
      <c r="V77" s="3054">
        <f>V70-0.001*$AW$69</f>
        <v>2.9689999999999999</v>
      </c>
      <c r="W77" s="3049"/>
      <c r="X77" s="4646" t="str">
        <f>FIXED((SUM(V75:AA75)),1)+FIXED(V68*('Beer Data Sheet'!$T$16/C4),1)&amp;" EBU"</f>
        <v>33.5 EBU</v>
      </c>
      <c r="Y77" s="4646"/>
      <c r="Z77" s="3055"/>
      <c r="AA77" s="3056">
        <f>(SUM(V75:AA75)+SUM($E$42:$E$45)+SUM($E$48:$E$49)+V68*'Beer Data Sheet'!$T$16*$C4)/$AF88</f>
        <v>0.68614281247958198</v>
      </c>
      <c r="AB77" s="51">
        <f t="shared" si="83"/>
        <v>0</v>
      </c>
      <c r="AC77" s="51">
        <f t="shared" si="84"/>
        <v>0</v>
      </c>
      <c r="AD77" s="358">
        <f t="shared" si="85"/>
        <v>0</v>
      </c>
      <c r="AE77" s="612">
        <f t="shared" si="86"/>
        <v>0</v>
      </c>
      <c r="AF77" s="420">
        <f t="shared" si="87"/>
        <v>0</v>
      </c>
      <c r="AG77" s="394">
        <f t="shared" si="88"/>
        <v>0</v>
      </c>
      <c r="AH77" s="421">
        <f t="shared" si="89"/>
        <v>0</v>
      </c>
      <c r="AI77" s="431"/>
      <c r="AJ77" s="431"/>
      <c r="AK77" s="358"/>
      <c r="AL77" s="431"/>
      <c r="AM77" s="431"/>
      <c r="AN77" s="431"/>
      <c r="AO77" s="431"/>
      <c r="AP77" s="431"/>
      <c r="AQ77" s="413"/>
      <c r="AR77" s="413"/>
      <c r="AS77" s="413"/>
      <c r="AT77" s="413"/>
      <c r="AU77" s="413"/>
      <c r="AV77" s="413"/>
      <c r="AW77" s="358"/>
      <c r="AX77" s="413"/>
      <c r="AY77" s="358" t="s">
        <v>172</v>
      </c>
      <c r="AZ77" s="465">
        <f>AZ71+J72</f>
        <v>630</v>
      </c>
      <c r="BA77" s="466">
        <f>BA71+P72</f>
        <v>600</v>
      </c>
      <c r="BB77" s="467">
        <f>BB71+V72</f>
        <v>585</v>
      </c>
      <c r="BC77" s="344"/>
      <c r="BD77" s="362"/>
      <c r="BE77" s="344"/>
      <c r="BF77" s="348"/>
      <c r="BG77" s="348"/>
      <c r="BH77" s="348"/>
      <c r="BI77" s="348"/>
      <c r="BJ77" s="348"/>
      <c r="BK77" s="348"/>
      <c r="BL77" s="363"/>
      <c r="BM77" s="363"/>
      <c r="BN77" s="107"/>
    </row>
    <row r="78" spans="1:66" s="342" customFormat="1" ht="15" customHeight="1">
      <c r="A78" s="4629"/>
      <c r="B78" s="3570" t="str">
        <f>B175</f>
        <v>Lactose (non-fermentable - FIXED)</v>
      </c>
      <c r="C78" s="2162"/>
      <c r="D78" s="56" t="s">
        <v>40</v>
      </c>
      <c r="E78" s="3847"/>
      <c r="F78" s="2149">
        <f>100*IF(C78=0,0,C78/$F$83)</f>
        <v>0</v>
      </c>
      <c r="G78" s="2143">
        <f t="shared" si="78"/>
        <v>0</v>
      </c>
      <c r="H78" s="3057" t="s">
        <v>175</v>
      </c>
      <c r="I78" s="3058"/>
      <c r="J78" s="4572" t="str">
        <f>"Using all the fermetables &amp; making the boil vol. up to "&amp;J70&amp;" litres (cell J70) &amp; boiling for "&amp;J72&amp;" minutes (cell J72) gives the stated bitterness of "&amp;L77&amp;" (cell L77)."</f>
        <v>Using all the fermetables &amp; making the boil vol. up to 7 litres (cell J70) &amp; boiling for 90 minutes (cell J72) gives the stated bitterness of 29.3 EBU (cell L77).</v>
      </c>
      <c r="K78" s="4117"/>
      <c r="L78" s="4117"/>
      <c r="M78" s="4117"/>
      <c r="N78" s="4117"/>
      <c r="O78" s="4515"/>
      <c r="P78" s="4574" t="str">
        <f>"Omitting any sugars from the boil &amp; making the boil vol. "&amp;P70&amp;" litres (cell P70) &amp; boiled for "&amp;P72&amp;" minutes (cell P72) gives a bitterness of "&amp;R77&amp;" (cell R77).   Any sugar is then added to the fermenting vessel &amp; stirred in."</f>
        <v>Omitting any sugars from the boil &amp; making the boil vol. 6.3 litres (cell P70) &amp; boiled for 60 minutes (cell P72) gives a bitterness of 26.6 EBU (cell R77).   Any sugar is then added to the fermenting vessel &amp; stirred in.</v>
      </c>
      <c r="Q78" s="4117"/>
      <c r="R78" s="4117"/>
      <c r="S78" s="4117"/>
      <c r="T78" s="4117"/>
      <c r="U78" s="4515"/>
      <c r="V78" s="4586" t="str">
        <f>"Add the hops &amp; coloured malts to a suggested minimum of boiling water vol. of "&amp;FIXED(0.1+AW70+(AW69)/12.3,1)&amp;" litres ("&amp;V70&amp;" used - cell V70) for " &amp;V72 &amp;" mins. (V72) to give a bitterness of "&amp;X77&amp;" (cell X77), use a sieve ̸ colander of "&amp;FIXED(0.1+AW70+(AW69)/17,1)&amp;" litres (minimum) to strain the spent grains ̸ hops. Use this hot, hop ""tea"" &amp; the sparging water to help dissovle the extract ̸ any other sugars."</f>
        <v>Add the hops &amp; coloured malts to a suggested minimum of boiling water vol. of 3.1 litres (3 used - cell V70) for 45 mins. (V72) to give a bitterness of 33.5 EBU (cell X77), use a sieve ̸ colander of 2.4 litres (minimum) to strain the spent grains ̸ hops. Use this hot, hop "tea" &amp; the sparging water to help dissovle the extract ̸ any other sugars.</v>
      </c>
      <c r="W78" s="4117"/>
      <c r="X78" s="4117"/>
      <c r="Y78" s="4117"/>
      <c r="Z78" s="4117"/>
      <c r="AA78" s="4515"/>
      <c r="AB78" s="51">
        <f t="shared" si="83"/>
        <v>380</v>
      </c>
      <c r="AC78" s="51">
        <f t="shared" si="84"/>
        <v>0</v>
      </c>
      <c r="AD78" s="358">
        <f t="shared" si="85"/>
        <v>30</v>
      </c>
      <c r="AE78" s="612">
        <f t="shared" si="86"/>
        <v>0</v>
      </c>
      <c r="AF78" s="420">
        <f t="shared" si="87"/>
        <v>0</v>
      </c>
      <c r="AG78" s="394">
        <f t="shared" si="88"/>
        <v>0</v>
      </c>
      <c r="AH78" s="421">
        <f t="shared" si="89"/>
        <v>0</v>
      </c>
      <c r="AI78" s="388"/>
      <c r="AJ78" s="358"/>
      <c r="AK78" s="358"/>
      <c r="AL78" s="413"/>
      <c r="AM78" s="58"/>
      <c r="AN78" s="58"/>
      <c r="AO78" s="58"/>
      <c r="AP78" s="431"/>
      <c r="AQ78" s="413"/>
      <c r="AR78" s="413"/>
      <c r="AS78" s="413"/>
      <c r="AT78" s="413"/>
      <c r="AU78" s="413"/>
      <c r="AV78" s="413"/>
      <c r="AW78" s="358"/>
      <c r="AX78" s="413"/>
      <c r="AY78" s="358"/>
      <c r="AZ78" s="358"/>
      <c r="BA78" s="358"/>
      <c r="BB78" s="358"/>
      <c r="BC78" s="344"/>
      <c r="BD78" s="362"/>
      <c r="BE78" s="344"/>
      <c r="BF78" s="348"/>
      <c r="BG78" s="348"/>
      <c r="BH78" s="348"/>
      <c r="BI78" s="348"/>
      <c r="BJ78" s="348"/>
      <c r="BK78" s="348"/>
      <c r="BL78" s="363"/>
      <c r="BM78" s="363"/>
      <c r="BN78" s="107"/>
    </row>
    <row r="79" spans="1:66" s="342" customFormat="1" ht="15" customHeight="1">
      <c r="A79" s="2882"/>
      <c r="B79" s="2876" t="s">
        <v>1853</v>
      </c>
      <c r="C79" s="2163">
        <f>C4*C81+AE79</f>
        <v>180.875</v>
      </c>
      <c r="D79" s="4638" t="str">
        <f>"g = "&amp;FIXED(100*(AF81+SUM(AF65:AF77))/(AF81+SUM(AF25:AF77)),1)&amp;"% of the fermentable sugars."</f>
        <v>g = 9.3% of the fermentable sugars.</v>
      </c>
      <c r="E79" s="4460"/>
      <c r="F79" s="4460"/>
      <c r="G79" s="4117"/>
      <c r="H79" s="4590" t="s">
        <v>178</v>
      </c>
      <c r="I79" s="4174"/>
      <c r="J79" s="4573"/>
      <c r="K79" s="4530"/>
      <c r="L79" s="4530"/>
      <c r="M79" s="4530"/>
      <c r="N79" s="4530"/>
      <c r="O79" s="4174"/>
      <c r="P79" s="4573"/>
      <c r="Q79" s="4530"/>
      <c r="R79" s="4530"/>
      <c r="S79" s="4530"/>
      <c r="T79" s="4530"/>
      <c r="U79" s="4174"/>
      <c r="V79" s="4573"/>
      <c r="W79" s="4530"/>
      <c r="X79" s="4530"/>
      <c r="Y79" s="4530"/>
      <c r="Z79" s="4530"/>
      <c r="AA79" s="4174"/>
      <c r="AB79" s="358"/>
      <c r="AC79" s="358"/>
      <c r="AD79" s="358"/>
      <c r="AE79" s="612">
        <f>SUM(AE65:AE78)/375</f>
        <v>110</v>
      </c>
      <c r="AF79" s="358"/>
      <c r="AG79" s="358"/>
      <c r="AH79" s="358"/>
      <c r="AI79" s="433"/>
      <c r="AJ79" s="433"/>
      <c r="AK79" s="358"/>
      <c r="AL79" s="433"/>
      <c r="AM79" s="433"/>
      <c r="AN79" s="433"/>
      <c r="AO79" s="433"/>
      <c r="AP79" s="433"/>
      <c r="AQ79" s="433"/>
      <c r="AR79" s="358"/>
      <c r="AS79" s="358"/>
      <c r="AT79" s="358"/>
      <c r="AU79" s="358"/>
      <c r="AV79" s="358"/>
      <c r="AW79" s="358"/>
      <c r="AX79" s="358"/>
      <c r="AY79" s="358"/>
      <c r="AZ79" s="358"/>
      <c r="BA79" s="358"/>
      <c r="BB79" s="358"/>
      <c r="BC79" s="343"/>
      <c r="BD79" s="362"/>
      <c r="BE79" s="344"/>
      <c r="BF79" s="348"/>
      <c r="BG79" s="348"/>
      <c r="BH79" s="348"/>
      <c r="BI79" s="348"/>
      <c r="BJ79" s="348"/>
      <c r="BK79" s="348"/>
      <c r="BL79" s="363"/>
      <c r="BM79" s="363"/>
      <c r="BN79" s="107"/>
    </row>
    <row r="80" spans="1:66" s="342" customFormat="1" ht="15" customHeight="1">
      <c r="A80" s="2883"/>
      <c r="B80" s="4663" t="s">
        <v>179</v>
      </c>
      <c r="C80" s="4530"/>
      <c r="D80" s="4530"/>
      <c r="E80" s="4530"/>
      <c r="F80" s="4530"/>
      <c r="G80" s="4530"/>
      <c r="H80" s="4573"/>
      <c r="I80" s="4174"/>
      <c r="J80" s="4573"/>
      <c r="K80" s="4530"/>
      <c r="L80" s="4530"/>
      <c r="M80" s="4530"/>
      <c r="N80" s="4530"/>
      <c r="O80" s="4174"/>
      <c r="P80" s="4573"/>
      <c r="Q80" s="4530"/>
      <c r="R80" s="4530"/>
      <c r="S80" s="4530"/>
      <c r="T80" s="4530"/>
      <c r="U80" s="4174"/>
      <c r="V80" s="4573"/>
      <c r="W80" s="4530"/>
      <c r="X80" s="4530"/>
      <c r="Y80" s="4530"/>
      <c r="Z80" s="4530"/>
      <c r="AA80" s="4174"/>
      <c r="AB80" s="358"/>
      <c r="AC80" s="358"/>
      <c r="AD80" s="358"/>
      <c r="AE80" s="358"/>
      <c r="AF80" s="358"/>
      <c r="AG80" s="358"/>
      <c r="AH80" s="358"/>
      <c r="AI80" s="358"/>
      <c r="AJ80" s="434"/>
      <c r="AK80" s="434"/>
      <c r="AL80" s="434"/>
      <c r="AM80" s="434"/>
      <c r="AN80" s="434"/>
      <c r="AO80" s="434"/>
      <c r="AP80" s="434"/>
      <c r="AQ80" s="394"/>
      <c r="AR80" s="423"/>
      <c r="AS80" s="358"/>
      <c r="AT80" s="358"/>
      <c r="AU80" s="358"/>
      <c r="AV80" s="358"/>
      <c r="AW80" s="423"/>
      <c r="AX80" s="423"/>
      <c r="AY80" s="423"/>
      <c r="AZ80" s="423"/>
      <c r="BA80" s="423"/>
      <c r="BB80" s="423"/>
      <c r="BC80" s="343"/>
      <c r="BD80" s="362"/>
      <c r="BE80" s="344"/>
      <c r="BF80" s="348"/>
      <c r="BG80" s="348"/>
      <c r="BH80" s="348"/>
      <c r="BI80" s="348"/>
      <c r="BJ80" s="348"/>
      <c r="BK80" s="348"/>
      <c r="BL80" s="363"/>
      <c r="BM80" s="363"/>
      <c r="BN80" s="107"/>
    </row>
    <row r="81" spans="1:66" s="342" customFormat="1" ht="15" customHeight="1">
      <c r="A81" s="2883"/>
      <c r="B81" s="2877" t="str">
        <f>"Priming sugar (sucrose, 1 level tsp = "&amp;BF$17&amp;"g )"</f>
        <v>Priming sugar (sucrose, 1 level tsp = 3.15g )</v>
      </c>
      <c r="C81" s="3571">
        <v>4.7249999999999996</v>
      </c>
      <c r="D81" s="4664" t="s">
        <v>180</v>
      </c>
      <c r="E81" s="4197"/>
      <c r="F81" s="2143">
        <f>100*IF(C81=0,0,C81*C4/$F$83)</f>
        <v>3.2203101039359345</v>
      </c>
      <c r="G81" s="2143">
        <f>IF(AF81=0,0,AF81*100/$AF$82)</f>
        <v>3.6309999018071744</v>
      </c>
      <c r="H81" s="4573"/>
      <c r="I81" s="4174"/>
      <c r="J81" s="4573"/>
      <c r="K81" s="4530"/>
      <c r="L81" s="4530"/>
      <c r="M81" s="4530"/>
      <c r="N81" s="4530"/>
      <c r="O81" s="4174"/>
      <c r="P81" s="4573"/>
      <c r="Q81" s="4530"/>
      <c r="R81" s="4530"/>
      <c r="S81" s="4530"/>
      <c r="T81" s="4530"/>
      <c r="U81" s="4174"/>
      <c r="V81" s="4573"/>
      <c r="W81" s="4530"/>
      <c r="X81" s="4530"/>
      <c r="Y81" s="4530"/>
      <c r="Z81" s="4530"/>
      <c r="AA81" s="4174"/>
      <c r="AB81" s="394"/>
      <c r="AC81" s="394"/>
      <c r="AD81" s="394"/>
      <c r="AE81" s="394"/>
      <c r="AF81" s="418">
        <f>0.001*C81*375*C$4</f>
        <v>26.578125</v>
      </c>
      <c r="AG81" s="394"/>
      <c r="AH81" s="394">
        <f>SUM(AH25:AH78)/C4</f>
        <v>270.61466666666666</v>
      </c>
      <c r="AI81" s="388" t="s">
        <v>181</v>
      </c>
      <c r="AJ81" s="434"/>
      <c r="AK81" s="434"/>
      <c r="AL81" s="434"/>
      <c r="AM81" s="434"/>
      <c r="AN81" s="434"/>
      <c r="AO81" s="434"/>
      <c r="AP81" s="435"/>
      <c r="AQ81" s="358"/>
      <c r="AR81" s="358"/>
      <c r="AS81" s="358"/>
      <c r="AT81" s="358"/>
      <c r="AU81" s="358"/>
      <c r="AV81" s="358"/>
      <c r="AW81" s="358"/>
      <c r="AX81" s="358"/>
      <c r="AY81" s="358"/>
      <c r="AZ81" s="358"/>
      <c r="BA81" s="358"/>
      <c r="BB81" s="358"/>
      <c r="BC81" s="343"/>
      <c r="BD81" s="362"/>
      <c r="BE81" s="344"/>
      <c r="BF81" s="348"/>
      <c r="BG81" s="348"/>
      <c r="BH81" s="348"/>
      <c r="BI81" s="348"/>
      <c r="BJ81" s="348"/>
      <c r="BK81" s="348"/>
      <c r="BL81" s="363"/>
      <c r="BM81" s="363"/>
      <c r="BN81" s="107"/>
    </row>
    <row r="82" spans="1:66" s="342" customFormat="1" ht="15" customHeight="1">
      <c r="A82" s="2883"/>
      <c r="B82" s="2878" t="s">
        <v>182</v>
      </c>
      <c r="C82" s="2164">
        <f>C81/BF17</f>
        <v>1.5</v>
      </c>
      <c r="D82" s="4665" t="s">
        <v>183</v>
      </c>
      <c r="E82" s="4665"/>
      <c r="F82" s="4666" t="s">
        <v>184</v>
      </c>
      <c r="G82" s="4667"/>
      <c r="H82" s="3356" t="s">
        <v>185</v>
      </c>
      <c r="I82" s="3059"/>
      <c r="J82" s="4532"/>
      <c r="K82" s="4456"/>
      <c r="L82" s="4456"/>
      <c r="M82" s="4456"/>
      <c r="N82" s="4456"/>
      <c r="O82" s="4533"/>
      <c r="P82" s="4532"/>
      <c r="Q82" s="4456"/>
      <c r="R82" s="4456"/>
      <c r="S82" s="4456"/>
      <c r="T82" s="4456"/>
      <c r="U82" s="4533"/>
      <c r="V82" s="4532"/>
      <c r="W82" s="4456"/>
      <c r="X82" s="4456"/>
      <c r="Y82" s="4456"/>
      <c r="Z82" s="4456"/>
      <c r="AA82" s="4533"/>
      <c r="AB82" s="394"/>
      <c r="AC82" s="394"/>
      <c r="AD82" s="4649" t="s">
        <v>186</v>
      </c>
      <c r="AE82" s="4649"/>
      <c r="AF82" s="418">
        <f>AF81+SUM(AF25:AF78)</f>
        <v>731.97812500000009</v>
      </c>
      <c r="AG82" s="394"/>
      <c r="AH82" s="394"/>
      <c r="AI82" s="394"/>
      <c r="AJ82" s="434"/>
      <c r="AK82" s="434"/>
      <c r="AL82" s="434"/>
      <c r="AM82" s="434"/>
      <c r="AN82" s="434"/>
      <c r="AO82" s="434"/>
      <c r="AP82" s="435"/>
      <c r="AQ82" s="358"/>
      <c r="AR82" s="358"/>
      <c r="AS82" s="358"/>
      <c r="AT82" s="358"/>
      <c r="AU82" s="358"/>
      <c r="AV82" s="358"/>
      <c r="AW82" s="358"/>
      <c r="AX82" s="358"/>
      <c r="AY82" s="358"/>
      <c r="AZ82" s="358"/>
      <c r="BA82" s="358"/>
      <c r="BB82" s="358"/>
      <c r="BC82" s="343"/>
      <c r="BD82" s="362"/>
      <c r="BE82" s="344"/>
      <c r="BF82" s="348"/>
      <c r="BG82" s="348"/>
      <c r="BH82" s="348"/>
      <c r="BI82" s="348"/>
      <c r="BJ82" s="348"/>
      <c r="BK82" s="348"/>
      <c r="BL82" s="363"/>
      <c r="BM82" s="363"/>
      <c r="BN82" s="107"/>
    </row>
    <row r="83" spans="1:66" s="342" customFormat="1" ht="15" customHeight="1">
      <c r="A83" s="2883"/>
      <c r="B83" s="2878" t="s">
        <v>187</v>
      </c>
      <c r="C83" s="3828">
        <v>500</v>
      </c>
      <c r="D83" s="4639" t="s">
        <v>188</v>
      </c>
      <c r="E83" s="4101"/>
      <c r="F83" s="2540">
        <f>(SUM(C25:C78)+C81*C4)</f>
        <v>2200.875</v>
      </c>
      <c r="G83" s="2541">
        <f>AF82</f>
        <v>731.97812500000009</v>
      </c>
      <c r="H83" s="4553" t="s">
        <v>1723</v>
      </c>
      <c r="I83" s="4174"/>
      <c r="J83" s="363"/>
      <c r="K83" s="1760"/>
      <c r="L83" s="1760"/>
      <c r="M83" s="1760"/>
      <c r="N83" s="1760"/>
      <c r="O83" s="1760"/>
      <c r="P83" s="1760"/>
      <c r="Q83" s="1760"/>
      <c r="R83" s="1760"/>
      <c r="S83" s="4654" t="s">
        <v>156</v>
      </c>
      <c r="T83" s="4655"/>
      <c r="U83" s="4656"/>
      <c r="V83" s="4647" t="s">
        <v>157</v>
      </c>
      <c r="W83" s="4647"/>
      <c r="X83" s="4648" t="s">
        <v>158</v>
      </c>
      <c r="Y83" s="4648"/>
      <c r="Z83" s="4653" t="s">
        <v>159</v>
      </c>
      <c r="AA83" s="4653"/>
      <c r="AB83" s="358"/>
      <c r="AC83" s="358"/>
      <c r="AD83" s="358"/>
      <c r="AE83" s="358"/>
      <c r="AF83" s="441"/>
      <c r="AG83" s="358"/>
      <c r="AH83" s="358"/>
      <c r="AI83" s="394"/>
      <c r="AJ83" s="434"/>
      <c r="AK83" s="434"/>
      <c r="AL83" s="434"/>
      <c r="AM83" s="434"/>
      <c r="AN83" s="434"/>
      <c r="AO83" s="434"/>
      <c r="AP83" s="435"/>
      <c r="AQ83" s="358"/>
      <c r="AR83" s="358"/>
      <c r="AS83" s="358"/>
      <c r="AT83" s="358"/>
      <c r="AU83" s="358"/>
      <c r="AV83" s="358"/>
      <c r="AW83" s="358"/>
      <c r="AX83" s="358"/>
      <c r="AY83" s="358"/>
      <c r="AZ83" s="358"/>
      <c r="BA83" s="358"/>
      <c r="BB83" s="358"/>
      <c r="BC83" s="343"/>
      <c r="BD83" s="362"/>
      <c r="BE83" s="344"/>
      <c r="BF83" s="348"/>
      <c r="BG83" s="348"/>
      <c r="BH83" s="348"/>
      <c r="BI83" s="348"/>
      <c r="BJ83" s="348"/>
      <c r="BK83" s="348"/>
      <c r="BL83" s="363"/>
      <c r="BM83" s="363"/>
      <c r="BN83" s="107"/>
    </row>
    <row r="84" spans="1:66" s="342" customFormat="1" ht="15" customHeight="1">
      <c r="A84" s="2883"/>
      <c r="B84" s="2878" t="s">
        <v>189</v>
      </c>
      <c r="C84" s="4555" t="str">
        <f>FIXED(C81*C83/1000)&amp;"g or "&amp;FIXED(C81*C83/(1000*BF17))&amp;" level 5ml tsp."</f>
        <v>2.36g or 0.75 level 5ml tsp.</v>
      </c>
      <c r="D84" s="4555"/>
      <c r="E84" s="4555"/>
      <c r="F84" s="4556" t="s">
        <v>190</v>
      </c>
      <c r="G84" s="4557"/>
      <c r="H84" s="4147"/>
      <c r="I84" s="4174"/>
      <c r="J84" s="4436" t="s">
        <v>1934</v>
      </c>
      <c r="K84" s="4436"/>
      <c r="L84" s="4436"/>
      <c r="M84" s="4436"/>
      <c r="N84" s="358"/>
      <c r="O84" s="363"/>
      <c r="P84" s="363"/>
      <c r="Q84" s="363"/>
      <c r="R84" s="363"/>
      <c r="S84" s="4657"/>
      <c r="T84" s="4658"/>
      <c r="U84" s="4659"/>
      <c r="V84" s="3288" t="s">
        <v>1791</v>
      </c>
      <c r="W84" s="3289" t="s">
        <v>1792</v>
      </c>
      <c r="X84" s="3287" t="s">
        <v>1791</v>
      </c>
      <c r="Y84" s="3291" t="s">
        <v>1792</v>
      </c>
      <c r="Z84" s="3288" t="s">
        <v>1791</v>
      </c>
      <c r="AA84" s="3290" t="s">
        <v>1792</v>
      </c>
      <c r="AB84" s="358"/>
      <c r="AC84" s="358"/>
      <c r="AD84" s="436"/>
      <c r="AE84" s="437" t="s">
        <v>191</v>
      </c>
      <c r="AF84" s="418">
        <f>SUM(AG25:AG62)/C4</f>
        <v>33.207500000000003</v>
      </c>
      <c r="AG84" s="388" t="s">
        <v>192</v>
      </c>
      <c r="AH84" s="388" t="s">
        <v>193</v>
      </c>
      <c r="AI84" s="395"/>
      <c r="AJ84" s="434"/>
      <c r="AK84" s="434"/>
      <c r="AL84" s="434"/>
      <c r="AM84" s="434"/>
      <c r="AN84" s="434"/>
      <c r="AO84" s="434"/>
      <c r="AP84" s="435"/>
      <c r="AQ84" s="358"/>
      <c r="AR84" s="358"/>
      <c r="AS84" s="438"/>
      <c r="AT84" s="438"/>
      <c r="AU84" s="438"/>
      <c r="AV84" s="439"/>
      <c r="AW84" s="358"/>
      <c r="AX84" s="358"/>
      <c r="AY84" s="358"/>
      <c r="AZ84" s="358"/>
      <c r="BA84" s="358"/>
      <c r="BB84" s="358"/>
      <c r="BC84" s="344"/>
      <c r="BD84" s="362"/>
      <c r="BE84" s="363"/>
      <c r="BF84" s="363"/>
      <c r="BG84" s="363"/>
      <c r="BH84" s="363"/>
      <c r="BI84" s="363"/>
      <c r="BJ84" s="363"/>
      <c r="BK84" s="363"/>
      <c r="BL84" s="358"/>
      <c r="BM84" s="363"/>
      <c r="BN84" s="107"/>
    </row>
    <row r="85" spans="1:66" s="342" customFormat="1" ht="15" customHeight="1">
      <c r="A85" s="2884"/>
      <c r="B85" s="3438" t="s">
        <v>1881</v>
      </c>
      <c r="C85" s="2165">
        <f>C81*$AC$85+VLOOKUP($I$4,$AB$88:$AC$132,2)</f>
        <v>2.1148947368421052</v>
      </c>
      <c r="D85" s="4560"/>
      <c r="E85" s="4560"/>
      <c r="F85" s="2542">
        <f>SUM(F25:F81)/100</f>
        <v>1</v>
      </c>
      <c r="G85" s="2543">
        <f>SUM(G25:G81)/100</f>
        <v>1</v>
      </c>
      <c r="H85" s="4147"/>
      <c r="I85" s="4174"/>
      <c r="J85" s="363"/>
      <c r="K85" s="4644" t="s">
        <v>225</v>
      </c>
      <c r="L85" s="4645"/>
      <c r="M85" s="363"/>
      <c r="N85" s="363"/>
      <c r="O85" s="363"/>
      <c r="P85" s="363"/>
      <c r="Q85" s="362"/>
      <c r="R85" s="362"/>
      <c r="S85" s="4579" t="s">
        <v>161</v>
      </c>
      <c r="T85" s="4580"/>
      <c r="U85" s="4581"/>
      <c r="V85" s="2776">
        <v>9</v>
      </c>
      <c r="W85" s="2777">
        <v>0</v>
      </c>
      <c r="X85" s="2818">
        <f>V85</f>
        <v>9</v>
      </c>
      <c r="Y85" s="2819">
        <f>W85</f>
        <v>0</v>
      </c>
      <c r="Z85" s="2856">
        <f>X85</f>
        <v>9</v>
      </c>
      <c r="AA85" s="2854">
        <f>Y85</f>
        <v>0</v>
      </c>
      <c r="AB85" s="195"/>
      <c r="AC85" s="570">
        <f>89.6/342</f>
        <v>0.26198830409356721</v>
      </c>
      <c r="AD85" s="395"/>
      <c r="AE85" s="437" t="s">
        <v>194</v>
      </c>
      <c r="AF85" s="441">
        <f>(1.079*(SUM(AG65:AG78)+C81*(0.375*C4))/C4)</f>
        <v>4.8791031249999994</v>
      </c>
      <c r="AG85" s="358" t="s">
        <v>195</v>
      </c>
      <c r="AH85" s="442"/>
      <c r="AI85" s="395"/>
      <c r="AJ85" s="442"/>
      <c r="AK85" s="358"/>
      <c r="AL85" s="434"/>
      <c r="AM85" s="434"/>
      <c r="AN85" s="434"/>
      <c r="AO85" s="434"/>
      <c r="AP85" s="434"/>
      <c r="AQ85" s="358"/>
      <c r="AR85" s="358"/>
      <c r="AS85" s="428"/>
      <c r="AT85" s="428"/>
      <c r="AU85" s="428"/>
      <c r="AV85" s="439"/>
      <c r="AW85" s="358"/>
      <c r="AX85" s="358"/>
      <c r="AY85" s="358"/>
      <c r="AZ85" s="358"/>
      <c r="BA85" s="358"/>
      <c r="BB85" s="358"/>
      <c r="BC85" s="344"/>
      <c r="BD85" s="362"/>
      <c r="BE85" s="4650" t="s">
        <v>367</v>
      </c>
      <c r="BF85" s="4650"/>
      <c r="BG85" s="4650"/>
      <c r="BH85" s="4650"/>
      <c r="BI85" s="4650"/>
      <c r="BJ85" s="4650"/>
      <c r="BK85" s="4650"/>
      <c r="BL85" s="4650"/>
      <c r="BM85" s="363"/>
      <c r="BN85" s="107"/>
    </row>
    <row r="86" spans="1:66" s="342" customFormat="1" ht="15" customHeight="1">
      <c r="A86" s="2883"/>
      <c r="B86" s="2879" t="s">
        <v>202</v>
      </c>
      <c r="C86" s="2167" t="s">
        <v>203</v>
      </c>
      <c r="D86" s="4660" t="s">
        <v>204</v>
      </c>
      <c r="E86" s="4661"/>
      <c r="F86" s="2580"/>
      <c r="G86" s="2581"/>
      <c r="H86" s="4147"/>
      <c r="I86" s="4174"/>
      <c r="J86" s="363"/>
      <c r="K86" s="61">
        <v>0.04</v>
      </c>
      <c r="L86" s="61">
        <v>4.1500000000000004</v>
      </c>
      <c r="M86" s="4561" t="s">
        <v>226</v>
      </c>
      <c r="N86" s="4101"/>
      <c r="O86" s="363"/>
      <c r="P86" s="363"/>
      <c r="Q86" s="358"/>
      <c r="R86" s="358"/>
      <c r="S86" s="4563" t="s">
        <v>164</v>
      </c>
      <c r="T86" s="4537"/>
      <c r="U86" s="4538"/>
      <c r="V86" s="2814">
        <f t="shared" ref="V86:V91" si="99">INT(AZ72/60)</f>
        <v>9</v>
      </c>
      <c r="W86" s="2778">
        <f t="shared" ref="W86:W91" si="100">60*(MOD(AZ72/60,60)-V86)</f>
        <v>30</v>
      </c>
      <c r="X86" s="2766">
        <f t="shared" ref="X86:X91" si="101">INT(BA72/60)</f>
        <v>9</v>
      </c>
      <c r="Y86" s="2778">
        <f t="shared" ref="Y86:Y91" si="102">60*(MOD(BA72/60,60)-X86)</f>
        <v>0</v>
      </c>
      <c r="Z86" s="2828">
        <f t="shared" ref="Z86:Z91" si="103">INT(BB72/60)</f>
        <v>8</v>
      </c>
      <c r="AA86" s="2855">
        <f t="shared" ref="AA86:AA91" si="104">60*(MOD(BB72/60,60)-Z86)</f>
        <v>45</v>
      </c>
      <c r="AB86" s="1125" t="s">
        <v>198</v>
      </c>
      <c r="AC86" s="209" t="s">
        <v>199</v>
      </c>
      <c r="AD86" s="395"/>
      <c r="AE86" s="437" t="s">
        <v>200</v>
      </c>
      <c r="AF86" s="441">
        <f>(1.079*SUM(AG65:AG78)/C4)</f>
        <v>2.9672499999999999</v>
      </c>
      <c r="AG86" s="358" t="s">
        <v>201</v>
      </c>
      <c r="AH86" s="358"/>
      <c r="AI86" s="395"/>
      <c r="AJ86" s="442"/>
      <c r="AK86" s="358"/>
      <c r="AL86" s="388"/>
      <c r="AM86" s="388"/>
      <c r="AN86" s="388"/>
      <c r="AO86" s="388"/>
      <c r="AP86" s="388"/>
      <c r="AQ86" s="358"/>
      <c r="AR86" s="358"/>
      <c r="AS86" s="358"/>
      <c r="AT86" s="358"/>
      <c r="AU86" s="358"/>
      <c r="AV86" s="358"/>
      <c r="AW86" s="358"/>
      <c r="AX86" s="358"/>
      <c r="AY86" s="358"/>
      <c r="AZ86" s="358"/>
      <c r="BA86" s="358"/>
      <c r="BB86" s="358"/>
      <c r="BC86" s="344"/>
      <c r="BD86" s="362"/>
      <c r="BE86" s="4415" t="s">
        <v>210</v>
      </c>
      <c r="BF86" s="4415"/>
      <c r="BG86" s="4415"/>
      <c r="BH86" s="4415"/>
      <c r="BI86" s="4415"/>
      <c r="BJ86" s="4415"/>
      <c r="BK86" s="4415"/>
      <c r="BL86" s="4415"/>
      <c r="BM86" s="363"/>
      <c r="BN86" s="107"/>
    </row>
    <row r="87" spans="1:66" s="342" customFormat="1" ht="15" customHeight="1">
      <c r="A87" s="2885"/>
      <c r="B87" s="2880" t="s">
        <v>196</v>
      </c>
      <c r="C87" s="2166">
        <v>75</v>
      </c>
      <c r="D87" s="4635" t="s">
        <v>197</v>
      </c>
      <c r="E87" s="4530"/>
      <c r="F87" s="4530"/>
      <c r="G87" s="4636"/>
      <c r="H87" s="4554"/>
      <c r="I87" s="4470"/>
      <c r="J87" s="363"/>
      <c r="K87" s="62">
        <v>0.04</v>
      </c>
      <c r="L87" s="62">
        <v>4.1500000000000004</v>
      </c>
      <c r="M87" s="4662" t="s">
        <v>227</v>
      </c>
      <c r="N87" s="4101"/>
      <c r="O87" s="358"/>
      <c r="P87" s="363"/>
      <c r="Q87" s="362"/>
      <c r="R87" s="362"/>
      <c r="S87" s="4563" t="s">
        <v>166</v>
      </c>
      <c r="T87" s="4537"/>
      <c r="U87" s="4538"/>
      <c r="V87" s="2814">
        <f t="shared" si="99"/>
        <v>9</v>
      </c>
      <c r="W87" s="2778">
        <f t="shared" si="100"/>
        <v>45</v>
      </c>
      <c r="X87" s="2766">
        <f t="shared" si="101"/>
        <v>9</v>
      </c>
      <c r="Y87" s="2778">
        <f t="shared" si="102"/>
        <v>15</v>
      </c>
      <c r="Z87" s="2828">
        <f t="shared" si="103"/>
        <v>9</v>
      </c>
      <c r="AA87" s="2855">
        <f t="shared" si="104"/>
        <v>0</v>
      </c>
      <c r="AB87" s="571" t="s">
        <v>205</v>
      </c>
      <c r="AC87" s="572" t="s">
        <v>206</v>
      </c>
      <c r="AD87" s="395"/>
      <c r="AE87" s="395"/>
      <c r="AF87" s="441" t="s">
        <v>207</v>
      </c>
      <c r="AG87" s="358"/>
      <c r="AH87" s="358"/>
      <c r="AI87" s="395"/>
      <c r="AJ87" s="442"/>
      <c r="AK87" s="358"/>
      <c r="AL87" s="388"/>
      <c r="AM87" s="388"/>
      <c r="AN87" s="388"/>
      <c r="AO87" s="388"/>
      <c r="AP87" s="388"/>
      <c r="AQ87" s="388"/>
      <c r="AR87" s="388"/>
      <c r="AS87" s="388"/>
      <c r="AT87" s="388"/>
      <c r="AU87" s="388"/>
      <c r="AV87" s="388"/>
      <c r="AW87" s="388"/>
      <c r="AX87" s="388"/>
      <c r="AY87" s="388"/>
      <c r="AZ87" s="388"/>
      <c r="BA87" s="388"/>
      <c r="BB87" s="413"/>
      <c r="BC87" s="344"/>
      <c r="BD87" s="362"/>
      <c r="BE87" s="4591" t="s">
        <v>214</v>
      </c>
      <c r="BF87" s="4591"/>
      <c r="BG87" s="4591"/>
      <c r="BH87" s="4591"/>
      <c r="BI87" s="4591"/>
      <c r="BJ87" s="4591"/>
      <c r="BK87" s="4591"/>
      <c r="BL87" s="4591"/>
      <c r="BM87" s="363"/>
      <c r="BN87" s="107"/>
    </row>
    <row r="88" spans="1:66" s="342" customFormat="1" ht="15" customHeight="1">
      <c r="A88" s="2885"/>
      <c r="B88" s="2881" t="s">
        <v>1714</v>
      </c>
      <c r="C88" s="2168" t="str">
        <f>FIXED((100*(1-(AF90/AF88))),1)&amp;"%"</f>
        <v>77.8%</v>
      </c>
      <c r="D88" s="4637" t="s">
        <v>1746</v>
      </c>
      <c r="E88" s="4446"/>
      <c r="F88" s="4446"/>
      <c r="G88" s="2054" t="str">
        <f>FIXED(100*(1-(((0.1808*AF89)+(0.8192*AF90))/AF89)),1)&amp;"%"</f>
        <v>63.0%</v>
      </c>
      <c r="H88" s="59"/>
      <c r="I88" s="443"/>
      <c r="J88" s="363"/>
      <c r="K88" s="363"/>
      <c r="L88" s="363"/>
      <c r="M88" s="363"/>
      <c r="N88" s="363"/>
      <c r="O88" s="363"/>
      <c r="P88" s="363"/>
      <c r="Q88" s="358"/>
      <c r="R88" s="358"/>
      <c r="S88" s="4563" t="s">
        <v>167</v>
      </c>
      <c r="T88" s="4537"/>
      <c r="U88" s="4538"/>
      <c r="V88" s="2814">
        <f t="shared" si="99"/>
        <v>10</v>
      </c>
      <c r="W88" s="2778">
        <f t="shared" si="100"/>
        <v>0</v>
      </c>
      <c r="X88" s="2766">
        <f t="shared" si="101"/>
        <v>9</v>
      </c>
      <c r="Y88" s="2778">
        <f t="shared" si="102"/>
        <v>30</v>
      </c>
      <c r="Z88" s="2828">
        <f t="shared" si="103"/>
        <v>9</v>
      </c>
      <c r="AA88" s="2855">
        <f t="shared" si="104"/>
        <v>22.999999999999972</v>
      </c>
      <c r="AB88" s="2808">
        <v>0</v>
      </c>
      <c r="AC88" s="2809">
        <v>1.7130000000000001</v>
      </c>
      <c r="AD88" s="395"/>
      <c r="AE88" s="3539" t="s">
        <v>208</v>
      </c>
      <c r="AF88" s="418">
        <f>(AF81+(SUM(AF25:AF78)))/C4</f>
        <v>48.798541666666672</v>
      </c>
      <c r="AG88" s="444" t="s">
        <v>192</v>
      </c>
      <c r="AH88" s="388" t="s">
        <v>209</v>
      </c>
      <c r="AI88" s="358"/>
      <c r="AJ88" s="433"/>
      <c r="AK88" s="358"/>
      <c r="AL88" s="388"/>
      <c r="AM88" s="388"/>
      <c r="AN88" s="388"/>
      <c r="AO88" s="388"/>
      <c r="AP88" s="388"/>
      <c r="AQ88" s="388"/>
      <c r="AR88" s="388"/>
      <c r="AS88" s="388"/>
      <c r="AT88" s="388"/>
      <c r="AU88" s="388"/>
      <c r="AV88" s="388"/>
      <c r="AW88" s="388"/>
      <c r="AX88" s="388"/>
      <c r="AY88" s="388"/>
      <c r="AZ88" s="388"/>
      <c r="BA88" s="388"/>
      <c r="BB88" s="413"/>
      <c r="BC88" s="344"/>
      <c r="BD88" s="362"/>
      <c r="BE88" s="4591" t="s">
        <v>1776</v>
      </c>
      <c r="BF88" s="4591"/>
      <c r="BG88" s="4591"/>
      <c r="BH88" s="4591"/>
      <c r="BI88" s="4591"/>
      <c r="BJ88" s="4591"/>
      <c r="BK88" s="4591"/>
      <c r="BL88" s="4591"/>
      <c r="BM88" s="363"/>
      <c r="BN88" s="3493"/>
    </row>
    <row r="89" spans="1:66" s="342" customFormat="1" ht="15" customHeight="1">
      <c r="A89" s="443"/>
      <c r="B89" s="2780"/>
      <c r="C89" s="2780"/>
      <c r="D89" s="2780"/>
      <c r="E89" s="2780"/>
      <c r="F89" s="2780"/>
      <c r="G89" s="2780"/>
      <c r="H89" s="2780"/>
      <c r="I89" s="2780"/>
      <c r="J89" s="363"/>
      <c r="K89" s="363"/>
      <c r="L89" s="363"/>
      <c r="M89" s="363"/>
      <c r="N89" s="363"/>
      <c r="O89" s="363"/>
      <c r="P89" s="363"/>
      <c r="Q89" s="362"/>
      <c r="R89" s="362"/>
      <c r="S89" s="4587" t="s">
        <v>645</v>
      </c>
      <c r="T89" s="4537"/>
      <c r="U89" s="4538"/>
      <c r="V89" s="2814">
        <f t="shared" si="99"/>
        <v>10</v>
      </c>
      <c r="W89" s="2778">
        <f t="shared" si="100"/>
        <v>22.999999999999972</v>
      </c>
      <c r="X89" s="2766">
        <f t="shared" si="101"/>
        <v>9</v>
      </c>
      <c r="Y89" s="2778">
        <f t="shared" si="102"/>
        <v>52.999999999999972</v>
      </c>
      <c r="Z89" s="2828">
        <f t="shared" si="103"/>
        <v>9</v>
      </c>
      <c r="AA89" s="2855">
        <f t="shared" si="104"/>
        <v>37.999999999999972</v>
      </c>
      <c r="AB89" s="2625">
        <v>1</v>
      </c>
      <c r="AC89" s="2810">
        <v>1.6459999999999999</v>
      </c>
      <c r="AD89" s="395"/>
      <c r="AE89" s="3539" t="s">
        <v>213</v>
      </c>
      <c r="AF89" s="418">
        <f>(SUM(AF25:AF78))/C4</f>
        <v>47.026666666666671</v>
      </c>
      <c r="AG89" s="444" t="s">
        <v>192</v>
      </c>
      <c r="AH89" s="388" t="s">
        <v>193</v>
      </c>
      <c r="AI89" s="448"/>
      <c r="AJ89" s="433"/>
      <c r="AK89" s="358"/>
      <c r="AL89" s="413"/>
      <c r="AM89" s="413"/>
      <c r="AN89" s="413"/>
      <c r="AO89" s="413"/>
      <c r="AP89" s="413"/>
      <c r="AQ89" s="413"/>
      <c r="AR89" s="413"/>
      <c r="AS89" s="413"/>
      <c r="AT89" s="413"/>
      <c r="AU89" s="413"/>
      <c r="AV89" s="413"/>
      <c r="AW89" s="413"/>
      <c r="AX89" s="388"/>
      <c r="AY89" s="388"/>
      <c r="AZ89" s="388"/>
      <c r="BA89" s="388"/>
      <c r="BB89" s="413"/>
      <c r="BC89" s="344"/>
      <c r="BD89" s="344"/>
      <c r="BE89" s="4197" t="s">
        <v>221</v>
      </c>
      <c r="BF89" s="4197"/>
      <c r="BG89" s="4197"/>
      <c r="BH89" s="4197"/>
      <c r="BI89" s="4197"/>
      <c r="BJ89" s="4197"/>
      <c r="BK89" s="4197"/>
      <c r="BL89" s="4197"/>
      <c r="BM89" s="363"/>
      <c r="BN89" s="3493"/>
    </row>
    <row r="90" spans="1:66" s="342" customFormat="1" ht="15" customHeight="1">
      <c r="A90" s="443"/>
      <c r="B90" s="2780"/>
      <c r="C90" s="2780"/>
      <c r="D90" s="363"/>
      <c r="E90" s="363"/>
      <c r="F90" s="363"/>
      <c r="G90" s="363"/>
      <c r="H90" s="363"/>
      <c r="I90" s="2780"/>
      <c r="J90" s="888">
        <v>1</v>
      </c>
      <c r="K90" s="4623" t="s">
        <v>228</v>
      </c>
      <c r="L90" s="4447"/>
      <c r="M90" s="556">
        <v>23</v>
      </c>
      <c r="N90" s="4624" t="s">
        <v>749</v>
      </c>
      <c r="O90" s="4625"/>
      <c r="P90" s="1894" t="str">
        <f>FIXED((J90*'Beer Data Sheet'!$T$16/M90),1)&amp;" EBU"</f>
        <v>3.0 EBU</v>
      </c>
      <c r="Q90" s="363"/>
      <c r="R90" s="363"/>
      <c r="S90" s="4651" t="s">
        <v>742</v>
      </c>
      <c r="T90" s="4507"/>
      <c r="U90" s="4559"/>
      <c r="V90" s="2779">
        <f t="shared" si="99"/>
        <v>10</v>
      </c>
      <c r="W90" s="2778">
        <f t="shared" si="100"/>
        <v>30</v>
      </c>
      <c r="X90" s="2820">
        <f t="shared" si="101"/>
        <v>10</v>
      </c>
      <c r="Y90" s="2821">
        <f t="shared" si="102"/>
        <v>0</v>
      </c>
      <c r="Z90" s="2828">
        <f t="shared" si="103"/>
        <v>9</v>
      </c>
      <c r="AA90" s="2855">
        <f t="shared" si="104"/>
        <v>45</v>
      </c>
      <c r="AB90" s="2625">
        <v>2</v>
      </c>
      <c r="AC90" s="2811">
        <v>1.5840000000000001</v>
      </c>
      <c r="AD90" s="442"/>
      <c r="AE90" s="3539" t="s">
        <v>215</v>
      </c>
      <c r="AF90" s="418">
        <f>(AF88-AF81/C4-AF84-AF86)</f>
        <v>10.851916666666668</v>
      </c>
      <c r="AG90" s="444" t="s">
        <v>216</v>
      </c>
      <c r="AH90" s="388" t="s">
        <v>193</v>
      </c>
      <c r="AI90" s="448"/>
      <c r="AJ90" s="436"/>
      <c r="AK90" s="358"/>
      <c r="AL90" s="450"/>
      <c r="AM90" s="450"/>
      <c r="AN90" s="450"/>
      <c r="AO90" s="450"/>
      <c r="AP90" s="449"/>
      <c r="AQ90" s="449"/>
      <c r="AR90" s="449"/>
      <c r="AS90" s="449"/>
      <c r="AT90" s="449"/>
      <c r="AU90" s="449"/>
      <c r="AV90" s="449"/>
      <c r="AW90" s="449"/>
      <c r="AX90" s="449"/>
      <c r="AY90" s="449"/>
      <c r="AZ90" s="449"/>
      <c r="BA90" s="449"/>
      <c r="BB90" s="449"/>
      <c r="BC90" s="344"/>
      <c r="BD90" s="344"/>
      <c r="BE90" s="107"/>
      <c r="BF90" s="107"/>
      <c r="BG90" s="107"/>
      <c r="BH90" s="107"/>
      <c r="BI90" s="107"/>
      <c r="BJ90" s="107"/>
      <c r="BK90" s="107"/>
      <c r="BL90" s="107"/>
      <c r="BM90" s="363"/>
      <c r="BN90" s="3493"/>
    </row>
    <row r="91" spans="1:66" s="342" customFormat="1" ht="15" customHeight="1">
      <c r="A91" s="443"/>
      <c r="B91" s="363"/>
      <c r="C91" s="363"/>
      <c r="D91" s="363"/>
      <c r="E91" s="363"/>
      <c r="F91" s="363"/>
      <c r="G91" s="363"/>
      <c r="H91" s="363"/>
      <c r="I91" s="2780"/>
      <c r="J91" s="4626" t="s">
        <v>746</v>
      </c>
      <c r="K91" s="4626"/>
      <c r="L91" s="4626"/>
      <c r="M91" s="4626"/>
      <c r="N91" s="4626"/>
      <c r="O91" s="4626"/>
      <c r="P91" s="4626"/>
      <c r="Q91" s="362"/>
      <c r="R91" s="362"/>
      <c r="S91" s="4652" t="s">
        <v>170</v>
      </c>
      <c r="T91" s="4580"/>
      <c r="U91" s="4581"/>
      <c r="V91" s="2771">
        <f t="shared" si="99"/>
        <v>10</v>
      </c>
      <c r="W91" s="2772">
        <f t="shared" si="100"/>
        <v>30</v>
      </c>
      <c r="X91" s="2771">
        <f t="shared" si="101"/>
        <v>10</v>
      </c>
      <c r="Y91" s="2772">
        <f t="shared" si="102"/>
        <v>0</v>
      </c>
      <c r="Z91" s="2857">
        <f t="shared" si="103"/>
        <v>9</v>
      </c>
      <c r="AA91" s="2815">
        <f t="shared" si="104"/>
        <v>45</v>
      </c>
      <c r="AB91" s="2625">
        <v>3</v>
      </c>
      <c r="AC91" s="2811">
        <v>1.53</v>
      </c>
      <c r="AD91" s="358"/>
      <c r="AE91" s="3539" t="s">
        <v>220</v>
      </c>
      <c r="AF91" s="2471">
        <f>(AF88-AF84-AF85)</f>
        <v>10.711938541666669</v>
      </c>
      <c r="AG91" s="444" t="s">
        <v>216</v>
      </c>
      <c r="AH91" s="388" t="s">
        <v>209</v>
      </c>
      <c r="AI91" s="448"/>
      <c r="AJ91" s="452"/>
      <c r="AK91" s="358"/>
      <c r="AL91" s="413"/>
      <c r="AM91" s="413"/>
      <c r="AN91" s="413"/>
      <c r="AO91" s="413"/>
      <c r="AP91" s="413"/>
      <c r="AQ91" s="413"/>
      <c r="AR91" s="413"/>
      <c r="AS91" s="413"/>
      <c r="AT91" s="413"/>
      <c r="AU91" s="413"/>
      <c r="AV91" s="413"/>
      <c r="AW91" s="413"/>
      <c r="AX91" s="413"/>
      <c r="AY91" s="413"/>
      <c r="AZ91" s="413"/>
      <c r="BA91" s="413"/>
      <c r="BB91" s="413"/>
      <c r="BC91" s="344"/>
      <c r="BD91" s="344"/>
      <c r="BE91" s="4677" t="str">
        <f>"1 level 5ml tsp sugar = "&amp;'Beer Data Sheet'!O20&amp;"g"</f>
        <v>1 level 5ml tsp sugar = 3.15g</v>
      </c>
      <c r="BF91" s="4677"/>
      <c r="BG91" s="4677"/>
      <c r="BH91" s="4677"/>
      <c r="BI91" s="363"/>
      <c r="BJ91" s="363"/>
      <c r="BK91" s="363"/>
      <c r="BL91" s="363"/>
      <c r="BM91" s="363"/>
      <c r="BN91" s="3493"/>
    </row>
    <row r="92" spans="1:66" s="342" customFormat="1" ht="15" customHeight="1">
      <c r="A92" s="443"/>
      <c r="B92" s="363"/>
      <c r="C92" s="363"/>
      <c r="D92" s="363"/>
      <c r="E92" s="363"/>
      <c r="F92" s="363"/>
      <c r="G92" s="363"/>
      <c r="H92" s="363"/>
      <c r="I92" s="2780"/>
      <c r="J92" s="4627"/>
      <c r="K92" s="4627"/>
      <c r="L92" s="4627"/>
      <c r="M92" s="4627"/>
      <c r="N92" s="4627"/>
      <c r="O92" s="4627"/>
      <c r="P92" s="4627"/>
      <c r="Q92" s="363"/>
      <c r="R92" s="363"/>
      <c r="S92" s="4558" t="s">
        <v>173</v>
      </c>
      <c r="T92" s="4507"/>
      <c r="U92" s="4559"/>
      <c r="V92" s="2807">
        <f>J72</f>
        <v>90</v>
      </c>
      <c r="W92" s="2760" t="s">
        <v>174</v>
      </c>
      <c r="X92" s="2807">
        <f>P72</f>
        <v>60</v>
      </c>
      <c r="Y92" s="2760" t="s">
        <v>174</v>
      </c>
      <c r="Z92" s="2816">
        <f>V72</f>
        <v>45</v>
      </c>
      <c r="AA92" s="2817" t="s">
        <v>174</v>
      </c>
      <c r="AB92" s="2625">
        <v>4</v>
      </c>
      <c r="AC92" s="2811">
        <v>1.4730000000000001</v>
      </c>
      <c r="AD92" s="358"/>
      <c r="AE92" s="413"/>
      <c r="AF92" s="413"/>
      <c r="AG92" s="413"/>
      <c r="AH92" s="413"/>
      <c r="AI92" s="413"/>
      <c r="AJ92" s="413"/>
      <c r="AK92" s="358"/>
      <c r="AL92" s="413"/>
      <c r="AM92" s="413"/>
      <c r="AN92" s="413"/>
      <c r="AO92" s="413"/>
      <c r="AP92" s="413"/>
      <c r="AQ92" s="413"/>
      <c r="AR92" s="413"/>
      <c r="AS92" s="413"/>
      <c r="AT92" s="413"/>
      <c r="AU92" s="413"/>
      <c r="AV92" s="413"/>
      <c r="AW92" s="413"/>
      <c r="AX92" s="413"/>
      <c r="AY92" s="413"/>
      <c r="AZ92" s="413"/>
      <c r="BA92" s="413"/>
      <c r="BB92" s="413"/>
      <c r="BC92" s="344"/>
      <c r="BD92" s="344"/>
      <c r="BE92" s="4680" t="s">
        <v>55</v>
      </c>
      <c r="BF92" s="4681"/>
      <c r="BG92" s="4682"/>
      <c r="BH92" s="363"/>
      <c r="BI92" s="363"/>
      <c r="BJ92" s="363"/>
      <c r="BK92" s="363"/>
      <c r="BL92" s="363"/>
      <c r="BM92" s="363"/>
      <c r="BN92" s="3493"/>
    </row>
    <row r="93" spans="1:66" s="342" customFormat="1" ht="15" customHeight="1">
      <c r="A93" s="4622" t="s">
        <v>222</v>
      </c>
      <c r="B93" s="4622"/>
      <c r="C93" s="363"/>
      <c r="D93" s="363"/>
      <c r="E93" s="363"/>
      <c r="F93" s="363"/>
      <c r="G93" s="363"/>
      <c r="H93" s="363"/>
      <c r="I93" s="2780"/>
      <c r="J93" s="2780"/>
      <c r="K93" s="2780"/>
      <c r="L93" s="2780"/>
      <c r="M93" s="2780"/>
      <c r="N93" s="2780"/>
      <c r="O93" s="2780"/>
      <c r="P93" s="2780"/>
      <c r="Q93" s="362"/>
      <c r="R93" s="362"/>
      <c r="S93" s="3527" t="s">
        <v>176</v>
      </c>
      <c r="T93" s="344"/>
      <c r="U93" s="344"/>
      <c r="V93" s="344"/>
      <c r="W93" s="344"/>
      <c r="X93" s="344"/>
      <c r="Y93" s="344"/>
      <c r="Z93" s="344"/>
      <c r="AA93" s="344"/>
      <c r="AB93" s="2625">
        <v>5</v>
      </c>
      <c r="AC93" s="2811">
        <v>1.4239999999999999</v>
      </c>
      <c r="AD93" s="358"/>
      <c r="AE93" s="413"/>
      <c r="AF93" s="413"/>
      <c r="AG93" s="413"/>
      <c r="AH93" s="413"/>
      <c r="AI93" s="413"/>
      <c r="AJ93" s="413"/>
      <c r="AK93" s="358"/>
      <c r="AL93" s="413"/>
      <c r="AM93" s="413"/>
      <c r="AN93" s="413"/>
      <c r="AO93" s="413"/>
      <c r="AP93" s="413"/>
      <c r="AQ93" s="413"/>
      <c r="AR93" s="413"/>
      <c r="AS93" s="413"/>
      <c r="AT93" s="413"/>
      <c r="AU93" s="413"/>
      <c r="AV93" s="413"/>
      <c r="AW93" s="413"/>
      <c r="AX93" s="413"/>
      <c r="AY93" s="413"/>
      <c r="AZ93" s="413"/>
      <c r="BA93" s="413"/>
      <c r="BB93" s="413"/>
      <c r="BC93" s="344"/>
      <c r="BD93" s="344"/>
      <c r="BE93" s="563" t="s">
        <v>61</v>
      </c>
      <c r="BF93" s="407" t="s">
        <v>62</v>
      </c>
      <c r="BG93" s="408" t="s">
        <v>63</v>
      </c>
      <c r="BH93" s="363"/>
      <c r="BI93" s="363"/>
      <c r="BJ93" s="363"/>
      <c r="BK93" s="363"/>
      <c r="BL93" s="363"/>
      <c r="BM93" s="363"/>
      <c r="BN93" s="3493"/>
    </row>
    <row r="94" spans="1:66" s="342" customFormat="1" ht="15" customHeight="1">
      <c r="A94" s="469"/>
      <c r="B94" s="4550" t="s">
        <v>223</v>
      </c>
      <c r="C94" s="4550"/>
      <c r="D94" s="363"/>
      <c r="E94" s="363"/>
      <c r="F94" s="363"/>
      <c r="G94" s="363"/>
      <c r="H94" s="3502"/>
      <c r="I94" s="362"/>
      <c r="J94" s="362"/>
      <c r="K94" s="362"/>
      <c r="L94" s="362"/>
      <c r="M94" s="362"/>
      <c r="N94" s="362"/>
      <c r="O94" s="362"/>
      <c r="P94" s="362"/>
      <c r="Q94" s="363"/>
      <c r="R94" s="363"/>
      <c r="S94" s="362"/>
      <c r="T94" s="363"/>
      <c r="U94" s="363"/>
      <c r="V94" s="363"/>
      <c r="W94" s="363"/>
      <c r="X94" s="363"/>
      <c r="Y94" s="363"/>
      <c r="Z94" s="363"/>
      <c r="AA94" s="363"/>
      <c r="AB94" s="2625">
        <v>6</v>
      </c>
      <c r="AC94" s="2811">
        <v>1.377</v>
      </c>
      <c r="AD94" s="358"/>
      <c r="AE94" s="413"/>
      <c r="AF94" s="413"/>
      <c r="AG94" s="413"/>
      <c r="AH94" s="413"/>
      <c r="AI94" s="413"/>
      <c r="AJ94" s="413"/>
      <c r="AK94" s="358"/>
      <c r="AL94" s="413"/>
      <c r="AM94" s="413"/>
      <c r="AN94" s="413"/>
      <c r="AO94" s="413"/>
      <c r="AP94" s="413"/>
      <c r="AQ94" s="413"/>
      <c r="AR94" s="413"/>
      <c r="AS94" s="413"/>
      <c r="AT94" s="413"/>
      <c r="AU94" s="413"/>
      <c r="AV94" s="413"/>
      <c r="AW94" s="413"/>
      <c r="AX94" s="413"/>
      <c r="AY94" s="413"/>
      <c r="AZ94" s="413"/>
      <c r="BA94" s="413"/>
      <c r="BB94" s="358"/>
      <c r="BC94" s="344"/>
      <c r="BD94" s="344"/>
      <c r="BE94" s="407">
        <f>BF94*'Beer Data Sheet'!O20</f>
        <v>9.9224999999999994</v>
      </c>
      <c r="BF94" s="410">
        <v>3.15</v>
      </c>
      <c r="BG94" s="411">
        <f>BF94/'Beer Data Sheet'!O20</f>
        <v>1</v>
      </c>
      <c r="BH94" s="363"/>
      <c r="BI94" s="363"/>
      <c r="BJ94" s="363"/>
      <c r="BK94" s="363"/>
      <c r="BL94" s="363"/>
      <c r="BM94" s="363"/>
      <c r="BN94" s="3493"/>
    </row>
    <row r="95" spans="1:66" s="342" customFormat="1" ht="15" customHeight="1">
      <c r="A95" s="363"/>
      <c r="B95" s="4598" t="s">
        <v>1893</v>
      </c>
      <c r="C95" s="4599"/>
      <c r="D95" s="4599"/>
      <c r="E95" s="4599"/>
      <c r="F95" s="4599"/>
      <c r="G95" s="4599"/>
      <c r="H95" s="4599"/>
      <c r="I95" s="4599"/>
      <c r="J95" s="4599"/>
      <c r="K95" s="4599"/>
      <c r="L95" s="4599"/>
      <c r="M95" s="4599"/>
      <c r="N95" s="4599"/>
      <c r="O95" s="4599"/>
      <c r="P95" s="4599"/>
      <c r="Q95" s="4599"/>
      <c r="R95" s="4599"/>
      <c r="S95" s="4599"/>
      <c r="T95" s="4599"/>
      <c r="U95" s="4599"/>
      <c r="V95" s="4599"/>
      <c r="W95" s="4599"/>
      <c r="X95" s="4599"/>
      <c r="Y95" s="4599"/>
      <c r="Z95" s="4599"/>
      <c r="AA95" s="4600"/>
      <c r="AB95" s="2625">
        <v>7</v>
      </c>
      <c r="AC95" s="2811">
        <v>1.331</v>
      </c>
      <c r="AD95" s="358"/>
      <c r="AE95" s="413"/>
      <c r="AF95" s="413"/>
      <c r="AG95" s="413"/>
      <c r="AH95" s="413"/>
      <c r="AI95" s="413"/>
      <c r="AJ95" s="413"/>
      <c r="AK95" s="358"/>
      <c r="AL95" s="413"/>
      <c r="AM95" s="413"/>
      <c r="AN95" s="413"/>
      <c r="AO95" s="413"/>
      <c r="AP95" s="413"/>
      <c r="AQ95" s="413"/>
      <c r="AR95" s="413"/>
      <c r="AS95" s="413"/>
      <c r="AT95" s="413"/>
      <c r="AU95" s="413"/>
      <c r="AV95" s="413"/>
      <c r="AW95" s="413"/>
      <c r="AX95" s="413"/>
      <c r="AY95" s="413"/>
      <c r="AZ95" s="413"/>
      <c r="BA95" s="413"/>
      <c r="BB95" s="358"/>
      <c r="BC95" s="344"/>
      <c r="BD95" s="344"/>
      <c r="BE95" s="363"/>
      <c r="BF95" s="363"/>
      <c r="BG95" s="363"/>
      <c r="BH95" s="363"/>
      <c r="BI95" s="363"/>
      <c r="BJ95" s="363"/>
      <c r="BK95" s="363"/>
      <c r="BL95" s="363"/>
      <c r="BM95" s="363"/>
      <c r="BN95" s="3493"/>
    </row>
    <row r="96" spans="1:66" s="342" customFormat="1" ht="15" customHeight="1">
      <c r="A96" s="362"/>
      <c r="B96" s="4601"/>
      <c r="C96" s="4602"/>
      <c r="D96" s="4602"/>
      <c r="E96" s="4602"/>
      <c r="F96" s="4602"/>
      <c r="G96" s="4602"/>
      <c r="H96" s="4602"/>
      <c r="I96" s="4602"/>
      <c r="J96" s="4602"/>
      <c r="K96" s="4602"/>
      <c r="L96" s="4602"/>
      <c r="M96" s="4602"/>
      <c r="N96" s="4602"/>
      <c r="O96" s="4602"/>
      <c r="P96" s="4602"/>
      <c r="Q96" s="4602"/>
      <c r="R96" s="4602"/>
      <c r="S96" s="4602"/>
      <c r="T96" s="4602"/>
      <c r="U96" s="4602"/>
      <c r="V96" s="4602"/>
      <c r="W96" s="4602"/>
      <c r="X96" s="4602"/>
      <c r="Y96" s="4602"/>
      <c r="Z96" s="4602"/>
      <c r="AA96" s="4603"/>
      <c r="AB96" s="2625">
        <v>8</v>
      </c>
      <c r="AC96" s="2811">
        <v>1.282</v>
      </c>
      <c r="AD96" s="358"/>
      <c r="AE96" s="413"/>
      <c r="AF96" s="413"/>
      <c r="AG96" s="413"/>
      <c r="AH96" s="413"/>
      <c r="AI96" s="413"/>
      <c r="AJ96" s="413"/>
      <c r="AK96" s="358"/>
      <c r="AL96" s="413"/>
      <c r="AM96" s="413"/>
      <c r="AN96" s="413"/>
      <c r="AO96" s="413"/>
      <c r="AP96" s="413"/>
      <c r="AQ96" s="413"/>
      <c r="AR96" s="413"/>
      <c r="AS96" s="413"/>
      <c r="AT96" s="413"/>
      <c r="AU96" s="413"/>
      <c r="AV96" s="413"/>
      <c r="AW96" s="413"/>
      <c r="AX96" s="413"/>
      <c r="AY96" s="413"/>
      <c r="AZ96" s="413"/>
      <c r="BA96" s="413"/>
      <c r="BB96" s="358"/>
      <c r="BC96" s="344"/>
      <c r="BD96" s="362"/>
      <c r="BE96" s="2781" t="s">
        <v>211</v>
      </c>
      <c r="BF96" s="167"/>
      <c r="BG96" s="363"/>
      <c r="BH96" s="363"/>
      <c r="BI96" s="363"/>
      <c r="BJ96" s="363"/>
      <c r="BK96" s="363"/>
      <c r="BL96" s="363"/>
      <c r="BM96" s="363"/>
      <c r="BN96" s="3493"/>
    </row>
    <row r="97" spans="1:66" s="342" customFormat="1" ht="15" customHeight="1">
      <c r="A97" s="344"/>
      <c r="B97" s="4601"/>
      <c r="C97" s="4602"/>
      <c r="D97" s="4602"/>
      <c r="E97" s="4602"/>
      <c r="F97" s="4602"/>
      <c r="G97" s="4602"/>
      <c r="H97" s="4602"/>
      <c r="I97" s="4602"/>
      <c r="J97" s="4602"/>
      <c r="K97" s="4602"/>
      <c r="L97" s="4602"/>
      <c r="M97" s="4602"/>
      <c r="N97" s="4602"/>
      <c r="O97" s="4602"/>
      <c r="P97" s="4602"/>
      <c r="Q97" s="4602"/>
      <c r="R97" s="4602"/>
      <c r="S97" s="4602"/>
      <c r="T97" s="4602"/>
      <c r="U97" s="4602"/>
      <c r="V97" s="4602"/>
      <c r="W97" s="4602"/>
      <c r="X97" s="4602"/>
      <c r="Y97" s="4602"/>
      <c r="Z97" s="4602"/>
      <c r="AA97" s="4603"/>
      <c r="AB97" s="2625">
        <v>9</v>
      </c>
      <c r="AC97" s="2811">
        <v>1.2370000000000001</v>
      </c>
      <c r="AD97" s="425"/>
      <c r="AE97" s="423"/>
      <c r="AF97" s="423"/>
      <c r="AG97" s="423"/>
      <c r="AH97" s="423"/>
      <c r="AI97" s="423"/>
      <c r="AJ97" s="423"/>
      <c r="AK97" s="358"/>
      <c r="AL97" s="423"/>
      <c r="AM97" s="423"/>
      <c r="AN97" s="423"/>
      <c r="AO97" s="423"/>
      <c r="AP97" s="423"/>
      <c r="AQ97" s="423"/>
      <c r="AR97" s="423"/>
      <c r="AS97" s="423"/>
      <c r="AT97" s="423"/>
      <c r="AU97" s="423"/>
      <c r="AV97" s="423"/>
      <c r="AW97" s="423"/>
      <c r="AX97" s="423"/>
      <c r="AY97" s="423"/>
      <c r="AZ97" s="423"/>
      <c r="BA97" s="423"/>
      <c r="BB97" s="425"/>
      <c r="BC97" s="344"/>
      <c r="BD97" s="362"/>
      <c r="BE97" s="445">
        <v>3</v>
      </c>
      <c r="BF97" s="4390" t="str">
        <f>"grams ̸ litre is equiv. to "&amp;FIXED(BJ97*BE97,1)&amp;"g per"</f>
        <v>grams ̸ litre is equiv. to 63.9g per</v>
      </c>
      <c r="BG97" s="4390"/>
      <c r="BH97" s="4390"/>
      <c r="BI97" s="4390"/>
      <c r="BJ97" s="3389">
        <v>21.3</v>
      </c>
      <c r="BK97" s="4668" t="s">
        <v>1815</v>
      </c>
      <c r="BL97" s="4669"/>
      <c r="BM97" s="363"/>
      <c r="BN97" s="3493"/>
    </row>
    <row r="98" spans="1:66" s="342" customFormat="1" ht="15" customHeight="1">
      <c r="A98" s="363"/>
      <c r="B98" s="4601"/>
      <c r="C98" s="4602"/>
      <c r="D98" s="4602"/>
      <c r="E98" s="4602"/>
      <c r="F98" s="4602"/>
      <c r="G98" s="4602"/>
      <c r="H98" s="4602"/>
      <c r="I98" s="4602"/>
      <c r="J98" s="4602"/>
      <c r="K98" s="4602"/>
      <c r="L98" s="4602"/>
      <c r="M98" s="4602"/>
      <c r="N98" s="4602"/>
      <c r="O98" s="4602"/>
      <c r="P98" s="4602"/>
      <c r="Q98" s="4602"/>
      <c r="R98" s="4602"/>
      <c r="S98" s="4602"/>
      <c r="T98" s="4602"/>
      <c r="U98" s="4602"/>
      <c r="V98" s="4602"/>
      <c r="W98" s="4602"/>
      <c r="X98" s="4602"/>
      <c r="Y98" s="4602"/>
      <c r="Z98" s="4602"/>
      <c r="AA98" s="4603"/>
      <c r="AB98" s="2625">
        <v>10</v>
      </c>
      <c r="AC98" s="2811">
        <v>1.194</v>
      </c>
      <c r="AD98" s="425"/>
      <c r="AE98" s="423"/>
      <c r="AF98" s="423"/>
      <c r="AG98" s="423"/>
      <c r="AH98" s="423"/>
      <c r="AI98" s="423"/>
      <c r="AJ98" s="423"/>
      <c r="AK98" s="358"/>
      <c r="AL98" s="423"/>
      <c r="AM98" s="423"/>
      <c r="AN98" s="423"/>
      <c r="AO98" s="423"/>
      <c r="AP98" s="423"/>
      <c r="AQ98" s="423"/>
      <c r="AR98" s="423"/>
      <c r="AS98" s="423"/>
      <c r="AT98" s="423"/>
      <c r="AU98" s="423"/>
      <c r="AV98" s="423"/>
      <c r="AW98" s="423"/>
      <c r="AX98" s="423"/>
      <c r="AY98" s="423"/>
      <c r="AZ98" s="423"/>
      <c r="BA98" s="423"/>
      <c r="BB98" s="425"/>
      <c r="BC98" s="344"/>
      <c r="BD98" s="362"/>
      <c r="BE98" s="363"/>
      <c r="BF98" s="363"/>
      <c r="BG98" s="363"/>
      <c r="BH98" s="363"/>
      <c r="BI98" s="363"/>
      <c r="BJ98" s="363"/>
      <c r="BK98" s="363"/>
      <c r="BL98" s="363"/>
      <c r="BM98" s="363"/>
      <c r="BN98" s="3493"/>
    </row>
    <row r="99" spans="1:66" s="342" customFormat="1" ht="15" customHeight="1">
      <c r="A99" s="363"/>
      <c r="B99" s="4601"/>
      <c r="C99" s="4602"/>
      <c r="D99" s="4602"/>
      <c r="E99" s="4602"/>
      <c r="F99" s="4602"/>
      <c r="G99" s="4602"/>
      <c r="H99" s="4602"/>
      <c r="I99" s="4602"/>
      <c r="J99" s="4602"/>
      <c r="K99" s="4602"/>
      <c r="L99" s="4602"/>
      <c r="M99" s="4602"/>
      <c r="N99" s="4602"/>
      <c r="O99" s="4602"/>
      <c r="P99" s="4602"/>
      <c r="Q99" s="4602"/>
      <c r="R99" s="4602"/>
      <c r="S99" s="4602"/>
      <c r="T99" s="4602"/>
      <c r="U99" s="4602"/>
      <c r="V99" s="4602"/>
      <c r="W99" s="4602"/>
      <c r="X99" s="4602"/>
      <c r="Y99" s="4602"/>
      <c r="Z99" s="4602"/>
      <c r="AA99" s="4603"/>
      <c r="AB99" s="2625">
        <v>11</v>
      </c>
      <c r="AC99" s="2811">
        <v>1.1539999999999999</v>
      </c>
      <c r="AD99" s="425"/>
      <c r="AE99" s="423"/>
      <c r="AF99" s="423"/>
      <c r="AG99" s="423"/>
      <c r="AH99" s="423"/>
      <c r="AI99" s="423"/>
      <c r="AJ99" s="423"/>
      <c r="AK99" s="358"/>
      <c r="AL99" s="423"/>
      <c r="AM99" s="423"/>
      <c r="AN99" s="423"/>
      <c r="AO99" s="423"/>
      <c r="AP99" s="423"/>
      <c r="AQ99" s="423"/>
      <c r="AR99" s="423"/>
      <c r="AS99" s="423"/>
      <c r="AT99" s="423"/>
      <c r="AU99" s="423"/>
      <c r="AV99" s="423"/>
      <c r="AW99" s="423"/>
      <c r="AX99" s="423"/>
      <c r="AY99" s="423"/>
      <c r="AZ99" s="423"/>
      <c r="BA99" s="423"/>
      <c r="BB99" s="425"/>
      <c r="BC99" s="344"/>
      <c r="BD99" s="362"/>
      <c r="BE99" s="3512" t="s">
        <v>218</v>
      </c>
      <c r="BF99" s="4678" t="s">
        <v>219</v>
      </c>
      <c r="BG99" s="4679"/>
      <c r="BH99" s="4582" t="s">
        <v>1807</v>
      </c>
      <c r="BI99" s="4583"/>
      <c r="BJ99" s="363"/>
      <c r="BK99" s="363"/>
      <c r="BL99" s="363"/>
      <c r="BM99" s="363"/>
      <c r="BN99" s="3493"/>
    </row>
    <row r="100" spans="1:66" s="342" customFormat="1" ht="15" customHeight="1">
      <c r="A100" s="363"/>
      <c r="B100" s="4601"/>
      <c r="C100" s="4602"/>
      <c r="D100" s="4602"/>
      <c r="E100" s="4602"/>
      <c r="F100" s="4602"/>
      <c r="G100" s="4602"/>
      <c r="H100" s="4602"/>
      <c r="I100" s="4602"/>
      <c r="J100" s="4602"/>
      <c r="K100" s="4602"/>
      <c r="L100" s="4602"/>
      <c r="M100" s="4602"/>
      <c r="N100" s="4602"/>
      <c r="O100" s="4602"/>
      <c r="P100" s="4602"/>
      <c r="Q100" s="4602"/>
      <c r="R100" s="4602"/>
      <c r="S100" s="4602"/>
      <c r="T100" s="4602"/>
      <c r="U100" s="4602"/>
      <c r="V100" s="4602"/>
      <c r="W100" s="4602"/>
      <c r="X100" s="4602"/>
      <c r="Y100" s="4602"/>
      <c r="Z100" s="4602"/>
      <c r="AA100" s="4603"/>
      <c r="AB100" s="2625">
        <v>12</v>
      </c>
      <c r="AC100" s="2811">
        <v>1.117</v>
      </c>
      <c r="AD100" s="425"/>
      <c r="AE100" s="423"/>
      <c r="AF100" s="423"/>
      <c r="AG100" s="423"/>
      <c r="AH100" s="423"/>
      <c r="AI100" s="423"/>
      <c r="AJ100" s="423"/>
      <c r="AK100" s="358"/>
      <c r="AL100" s="423"/>
      <c r="AM100" s="423"/>
      <c r="AN100" s="423"/>
      <c r="AO100" s="423"/>
      <c r="AP100" s="423"/>
      <c r="AQ100" s="423"/>
      <c r="AR100" s="423"/>
      <c r="AS100" s="423"/>
      <c r="AT100" s="423"/>
      <c r="AU100" s="423"/>
      <c r="AV100" s="423"/>
      <c r="AW100" s="423"/>
      <c r="AX100" s="423"/>
      <c r="AY100" s="423"/>
      <c r="AZ100" s="423"/>
      <c r="BA100" s="423"/>
      <c r="BB100" s="425"/>
      <c r="BC100" s="344"/>
      <c r="BD100" s="362"/>
      <c r="BE100" s="1671">
        <f>BF100*0.2489/0.262</f>
        <v>0.95</v>
      </c>
      <c r="BF100" s="4672">
        <v>1</v>
      </c>
      <c r="BG100" s="4673"/>
      <c r="BH100" s="4670">
        <f>BF100*0.262/0.2489</f>
        <v>1.0526315789473684</v>
      </c>
      <c r="BI100" s="4671"/>
      <c r="BJ100" s="363"/>
      <c r="BK100" s="363"/>
      <c r="BL100" s="363"/>
      <c r="BM100" s="363"/>
      <c r="BN100" s="3493"/>
    </row>
    <row r="101" spans="1:66" s="342" customFormat="1" ht="15" customHeight="1">
      <c r="A101" s="363"/>
      <c r="B101" s="4601"/>
      <c r="C101" s="4602"/>
      <c r="D101" s="4602"/>
      <c r="E101" s="4602"/>
      <c r="F101" s="4602"/>
      <c r="G101" s="4602"/>
      <c r="H101" s="4602"/>
      <c r="I101" s="4602"/>
      <c r="J101" s="4602"/>
      <c r="K101" s="4602"/>
      <c r="L101" s="4602"/>
      <c r="M101" s="4602"/>
      <c r="N101" s="4602"/>
      <c r="O101" s="4602"/>
      <c r="P101" s="4602"/>
      <c r="Q101" s="4602"/>
      <c r="R101" s="4602"/>
      <c r="S101" s="4602"/>
      <c r="T101" s="4602"/>
      <c r="U101" s="4602"/>
      <c r="V101" s="4602"/>
      <c r="W101" s="4602"/>
      <c r="X101" s="4602"/>
      <c r="Y101" s="4602"/>
      <c r="Z101" s="4602"/>
      <c r="AA101" s="4603"/>
      <c r="AB101" s="2625">
        <v>13</v>
      </c>
      <c r="AC101" s="2811">
        <v>1.083</v>
      </c>
      <c r="AD101" s="425"/>
      <c r="AE101" s="423"/>
      <c r="AF101" s="423"/>
      <c r="AG101" s="423"/>
      <c r="AH101" s="423"/>
      <c r="AI101" s="423"/>
      <c r="AJ101" s="423"/>
      <c r="AK101" s="358"/>
      <c r="AL101" s="423"/>
      <c r="AM101" s="423"/>
      <c r="AN101" s="423"/>
      <c r="AO101" s="423"/>
      <c r="AP101" s="423"/>
      <c r="AQ101" s="423"/>
      <c r="AR101" s="423"/>
      <c r="AS101" s="423"/>
      <c r="AT101" s="423"/>
      <c r="AU101" s="423"/>
      <c r="AV101" s="423"/>
      <c r="AW101" s="423"/>
      <c r="AX101" s="423"/>
      <c r="AY101" s="423"/>
      <c r="AZ101" s="423"/>
      <c r="BA101" s="423"/>
      <c r="BB101" s="425"/>
      <c r="BC101" s="344"/>
      <c r="BD101" s="362"/>
      <c r="BE101" s="363"/>
      <c r="BF101" s="363"/>
      <c r="BG101" s="363"/>
      <c r="BH101" s="363"/>
      <c r="BI101" s="363"/>
      <c r="BJ101" s="363"/>
      <c r="BK101" s="363"/>
      <c r="BL101" s="363"/>
      <c r="BM101" s="363"/>
      <c r="BN101" s="3493"/>
    </row>
    <row r="102" spans="1:66" s="342" customFormat="1" ht="15" customHeight="1">
      <c r="A102" s="363"/>
      <c r="B102" s="4601"/>
      <c r="C102" s="4602"/>
      <c r="D102" s="4602"/>
      <c r="E102" s="4602"/>
      <c r="F102" s="4602"/>
      <c r="G102" s="4602"/>
      <c r="H102" s="4602"/>
      <c r="I102" s="4602"/>
      <c r="J102" s="4602"/>
      <c r="K102" s="4602"/>
      <c r="L102" s="4602"/>
      <c r="M102" s="4602"/>
      <c r="N102" s="4602"/>
      <c r="O102" s="4602"/>
      <c r="P102" s="4602"/>
      <c r="Q102" s="4602"/>
      <c r="R102" s="4602"/>
      <c r="S102" s="4602"/>
      <c r="T102" s="4602"/>
      <c r="U102" s="4602"/>
      <c r="V102" s="4602"/>
      <c r="W102" s="4602"/>
      <c r="X102" s="4602"/>
      <c r="Y102" s="4602"/>
      <c r="Z102" s="4602"/>
      <c r="AA102" s="4603"/>
      <c r="AB102" s="2625">
        <f>(AB101+AB103)/2</f>
        <v>13.5</v>
      </c>
      <c r="AC102" s="2625">
        <f>(AC101+AC103)/2</f>
        <v>1.0665</v>
      </c>
      <c r="AD102" s="425"/>
      <c r="AE102" s="423"/>
      <c r="AF102" s="423"/>
      <c r="AG102" s="423"/>
      <c r="AH102" s="423"/>
      <c r="AI102" s="423"/>
      <c r="AJ102" s="423"/>
      <c r="AK102" s="358"/>
      <c r="AL102" s="423"/>
      <c r="AM102" s="423"/>
      <c r="AN102" s="423"/>
      <c r="AO102" s="423"/>
      <c r="AP102" s="423"/>
      <c r="AQ102" s="423"/>
      <c r="AR102" s="423"/>
      <c r="AS102" s="423"/>
      <c r="AT102" s="423"/>
      <c r="AU102" s="423"/>
      <c r="AV102" s="423"/>
      <c r="AW102" s="423"/>
      <c r="AX102" s="423"/>
      <c r="AY102" s="423"/>
      <c r="AZ102" s="423"/>
      <c r="BA102" s="423"/>
      <c r="BB102" s="425"/>
      <c r="BC102" s="344"/>
      <c r="BD102" s="362"/>
      <c r="BE102" s="4588" t="s">
        <v>218</v>
      </c>
      <c r="BF102" s="4589"/>
      <c r="BG102" s="4330" t="s">
        <v>219</v>
      </c>
      <c r="BH102" s="4330"/>
      <c r="BI102" s="4582" t="s">
        <v>1807</v>
      </c>
      <c r="BJ102" s="4583"/>
      <c r="BK102" s="363"/>
      <c r="BL102" s="363"/>
      <c r="BM102" s="363"/>
      <c r="BN102" s="3493"/>
    </row>
    <row r="103" spans="1:66" s="342" customFormat="1" ht="15" customHeight="1">
      <c r="A103" s="363"/>
      <c r="B103" s="4601"/>
      <c r="C103" s="4602"/>
      <c r="D103" s="4602"/>
      <c r="E103" s="4602"/>
      <c r="F103" s="4602"/>
      <c r="G103" s="4602"/>
      <c r="H103" s="4602"/>
      <c r="I103" s="4602"/>
      <c r="J103" s="4602"/>
      <c r="K103" s="4602"/>
      <c r="L103" s="4602"/>
      <c r="M103" s="4602"/>
      <c r="N103" s="4602"/>
      <c r="O103" s="4602"/>
      <c r="P103" s="4602"/>
      <c r="Q103" s="4602"/>
      <c r="R103" s="4602"/>
      <c r="S103" s="4602"/>
      <c r="T103" s="4602"/>
      <c r="U103" s="4602"/>
      <c r="V103" s="4602"/>
      <c r="W103" s="4602"/>
      <c r="X103" s="4602"/>
      <c r="Y103" s="4602"/>
      <c r="Z103" s="4602"/>
      <c r="AA103" s="4603"/>
      <c r="AB103" s="2625">
        <v>14</v>
      </c>
      <c r="AC103" s="2811">
        <v>1.05</v>
      </c>
      <c r="AD103" s="425"/>
      <c r="AE103" s="423"/>
      <c r="AF103" s="423"/>
      <c r="AG103" s="423"/>
      <c r="AH103" s="423"/>
      <c r="AI103" s="423"/>
      <c r="AJ103" s="423"/>
      <c r="AK103" s="358"/>
      <c r="AL103" s="423"/>
      <c r="AM103" s="423"/>
      <c r="AN103" s="423"/>
      <c r="AO103" s="423"/>
      <c r="AP103" s="423"/>
      <c r="AQ103" s="423"/>
      <c r="AR103" s="423"/>
      <c r="AS103" s="423"/>
      <c r="AT103" s="423"/>
      <c r="AU103" s="423"/>
      <c r="AV103" s="423"/>
      <c r="AW103" s="423"/>
      <c r="AX103" s="423"/>
      <c r="AY103" s="423"/>
      <c r="AZ103" s="423"/>
      <c r="BA103" s="423"/>
      <c r="BB103" s="425"/>
      <c r="BC103" s="344"/>
      <c r="BD103" s="362"/>
      <c r="BE103" s="4611">
        <f>BG103*0.2489/0.262</f>
        <v>0.95</v>
      </c>
      <c r="BF103" s="4612"/>
      <c r="BG103" s="4567">
        <v>1</v>
      </c>
      <c r="BH103" s="4568"/>
      <c r="BI103" s="4584">
        <f>BG103*0.262/0.2489</f>
        <v>1.0526315789473684</v>
      </c>
      <c r="BJ103" s="4585"/>
      <c r="BK103" s="363"/>
      <c r="BL103" s="363"/>
      <c r="BM103" s="363"/>
      <c r="BN103" s="3493"/>
    </row>
    <row r="104" spans="1:66" s="342" customFormat="1" ht="15" customHeight="1">
      <c r="A104" s="363"/>
      <c r="B104" s="4601"/>
      <c r="C104" s="4602"/>
      <c r="D104" s="4602"/>
      <c r="E104" s="4602"/>
      <c r="F104" s="4602"/>
      <c r="G104" s="4602"/>
      <c r="H104" s="4602"/>
      <c r="I104" s="4602"/>
      <c r="J104" s="4602"/>
      <c r="K104" s="4602"/>
      <c r="L104" s="4602"/>
      <c r="M104" s="4602"/>
      <c r="N104" s="4602"/>
      <c r="O104" s="4602"/>
      <c r="P104" s="4602"/>
      <c r="Q104" s="4602"/>
      <c r="R104" s="4602"/>
      <c r="S104" s="4602"/>
      <c r="T104" s="4602"/>
      <c r="U104" s="4602"/>
      <c r="V104" s="4602"/>
      <c r="W104" s="4602"/>
      <c r="X104" s="4602"/>
      <c r="Y104" s="4602"/>
      <c r="Z104" s="4602"/>
      <c r="AA104" s="4603"/>
      <c r="AB104" s="2625">
        <f>(AB103+AB105)/2</f>
        <v>14.5</v>
      </c>
      <c r="AC104" s="2625">
        <f>(AC103+AC105)/2</f>
        <v>1.034</v>
      </c>
      <c r="AD104" s="425"/>
      <c r="AE104" s="423"/>
      <c r="AF104" s="423"/>
      <c r="AG104" s="423"/>
      <c r="AH104" s="423"/>
      <c r="AI104" s="423"/>
      <c r="AJ104" s="423"/>
      <c r="AK104" s="358"/>
      <c r="AL104" s="423"/>
      <c r="AM104" s="423"/>
      <c r="AN104" s="423"/>
      <c r="AO104" s="423"/>
      <c r="AP104" s="423"/>
      <c r="AQ104" s="423"/>
      <c r="AR104" s="423"/>
      <c r="AS104" s="423"/>
      <c r="AT104" s="423"/>
      <c r="AU104" s="423"/>
      <c r="AV104" s="423"/>
      <c r="AW104" s="423"/>
      <c r="AX104" s="423"/>
      <c r="AY104" s="423"/>
      <c r="AZ104" s="423"/>
      <c r="BA104" s="423"/>
      <c r="BB104" s="425"/>
      <c r="BC104" s="344"/>
      <c r="BD104" s="362"/>
      <c r="BE104" s="4616" t="str">
        <f>1*FIXED(BG103)&amp;" unit(s) of sucrose = "&amp;1*FIXED(BH100)&amp;" units of dextrose"</f>
        <v>1 unit(s) of sucrose = 1.05 units of dextrose</v>
      </c>
      <c r="BF104" s="4616"/>
      <c r="BG104" s="4616"/>
      <c r="BH104" s="4616"/>
      <c r="BI104" s="4616"/>
      <c r="BJ104" s="4616"/>
      <c r="BK104" s="363"/>
      <c r="BL104" s="363"/>
      <c r="BM104" s="363"/>
      <c r="BN104" s="3493"/>
    </row>
    <row r="105" spans="1:66" s="342" customFormat="1" ht="15" customHeight="1">
      <c r="A105" s="363"/>
      <c r="B105" s="4601"/>
      <c r="C105" s="4602"/>
      <c r="D105" s="4602"/>
      <c r="E105" s="4602"/>
      <c r="F105" s="4602"/>
      <c r="G105" s="4602"/>
      <c r="H105" s="4602"/>
      <c r="I105" s="4602"/>
      <c r="J105" s="4602"/>
      <c r="K105" s="4602"/>
      <c r="L105" s="4602"/>
      <c r="M105" s="4602"/>
      <c r="N105" s="4602"/>
      <c r="O105" s="4602"/>
      <c r="P105" s="4602"/>
      <c r="Q105" s="4602"/>
      <c r="R105" s="4602"/>
      <c r="S105" s="4602"/>
      <c r="T105" s="4602"/>
      <c r="U105" s="4602"/>
      <c r="V105" s="4602"/>
      <c r="W105" s="4602"/>
      <c r="X105" s="4602"/>
      <c r="Y105" s="4602"/>
      <c r="Z105" s="4602"/>
      <c r="AA105" s="4603"/>
      <c r="AB105" s="2625">
        <v>15</v>
      </c>
      <c r="AC105" s="2811">
        <v>1.018</v>
      </c>
      <c r="AD105" s="425"/>
      <c r="AE105" s="423"/>
      <c r="AF105" s="423"/>
      <c r="AG105" s="423"/>
      <c r="AH105" s="423"/>
      <c r="AI105" s="423"/>
      <c r="AJ105" s="423"/>
      <c r="AK105" s="358"/>
      <c r="AL105" s="423"/>
      <c r="AM105" s="423"/>
      <c r="AN105" s="423"/>
      <c r="AO105" s="423"/>
      <c r="AP105" s="423"/>
      <c r="AQ105" s="423"/>
      <c r="AR105" s="423"/>
      <c r="AS105" s="423"/>
      <c r="AT105" s="423"/>
      <c r="AU105" s="423"/>
      <c r="AV105" s="423"/>
      <c r="AW105" s="423"/>
      <c r="AX105" s="423"/>
      <c r="AY105" s="423"/>
      <c r="AZ105" s="423"/>
      <c r="BA105" s="423"/>
      <c r="BB105" s="425"/>
      <c r="BC105" s="1761"/>
      <c r="BD105" s="1761"/>
      <c r="BE105" s="4566" t="str">
        <f>1*FIXED(BG103)&amp;" unit(s) of dextrose = "&amp;1*FIXED(BE103)&amp;" units of sucrose"</f>
        <v>1 unit(s) of dextrose = 0.95 units of sucrose</v>
      </c>
      <c r="BF105" s="4566"/>
      <c r="BG105" s="4566"/>
      <c r="BH105" s="4566"/>
      <c r="BI105" s="4566"/>
      <c r="BJ105" s="4566"/>
      <c r="BK105" s="363"/>
      <c r="BL105" s="363"/>
      <c r="BM105" s="363"/>
      <c r="BN105" s="3493"/>
    </row>
    <row r="106" spans="1:66" s="342" customFormat="1" ht="15" customHeight="1">
      <c r="A106" s="362"/>
      <c r="B106" s="4601"/>
      <c r="C106" s="4602"/>
      <c r="D106" s="4602"/>
      <c r="E106" s="4602"/>
      <c r="F106" s="4602"/>
      <c r="G106" s="4602"/>
      <c r="H106" s="4602"/>
      <c r="I106" s="4602"/>
      <c r="J106" s="4602"/>
      <c r="K106" s="4602"/>
      <c r="L106" s="4602"/>
      <c r="M106" s="4602"/>
      <c r="N106" s="4602"/>
      <c r="O106" s="4602"/>
      <c r="P106" s="4602"/>
      <c r="Q106" s="4602"/>
      <c r="R106" s="4602"/>
      <c r="S106" s="4602"/>
      <c r="T106" s="4602"/>
      <c r="U106" s="4602"/>
      <c r="V106" s="4602"/>
      <c r="W106" s="4602"/>
      <c r="X106" s="4602"/>
      <c r="Y106" s="4602"/>
      <c r="Z106" s="4602"/>
      <c r="AA106" s="4603"/>
      <c r="AB106" s="2625">
        <f>(AB105+AB107)/2</f>
        <v>15.5</v>
      </c>
      <c r="AC106" s="2625">
        <f>(AC105+AC107)/2</f>
        <v>1.0015000000000001</v>
      </c>
      <c r="AD106" s="425"/>
      <c r="AE106" s="423"/>
      <c r="AF106" s="423"/>
      <c r="AG106" s="423"/>
      <c r="AH106" s="423"/>
      <c r="AI106" s="423"/>
      <c r="AJ106" s="423"/>
      <c r="AK106" s="358"/>
      <c r="AL106" s="423"/>
      <c r="AM106" s="423"/>
      <c r="AN106" s="423"/>
      <c r="AO106" s="423"/>
      <c r="AP106" s="423"/>
      <c r="AQ106" s="423"/>
      <c r="AR106" s="423"/>
      <c r="AS106" s="423"/>
      <c r="AT106" s="423"/>
      <c r="AU106" s="423"/>
      <c r="AV106" s="423"/>
      <c r="AW106" s="423"/>
      <c r="AX106" s="423"/>
      <c r="AY106" s="423"/>
      <c r="AZ106" s="423"/>
      <c r="BA106" s="423"/>
      <c r="BB106" s="425"/>
      <c r="BC106" s="1761"/>
      <c r="BD106" s="1761"/>
      <c r="BE106" s="344"/>
      <c r="BF106" s="344"/>
      <c r="BG106" s="344"/>
      <c r="BH106" s="344"/>
      <c r="BI106" s="344"/>
      <c r="BJ106" s="344"/>
      <c r="BK106" s="363"/>
      <c r="BL106" s="363"/>
      <c r="BM106" s="344"/>
      <c r="BN106" s="3493"/>
    </row>
    <row r="107" spans="1:66" s="342" customFormat="1" ht="15" customHeight="1">
      <c r="A107" s="362"/>
      <c r="B107" s="4601"/>
      <c r="C107" s="4602"/>
      <c r="D107" s="4602"/>
      <c r="E107" s="4602"/>
      <c r="F107" s="4602"/>
      <c r="G107" s="4602"/>
      <c r="H107" s="4602"/>
      <c r="I107" s="4602"/>
      <c r="J107" s="4602"/>
      <c r="K107" s="4602"/>
      <c r="L107" s="4602"/>
      <c r="M107" s="4602"/>
      <c r="N107" s="4602"/>
      <c r="O107" s="4602"/>
      <c r="P107" s="4602"/>
      <c r="Q107" s="4602"/>
      <c r="R107" s="4602"/>
      <c r="S107" s="4602"/>
      <c r="T107" s="4602"/>
      <c r="U107" s="4602"/>
      <c r="V107" s="4602"/>
      <c r="W107" s="4602"/>
      <c r="X107" s="4602"/>
      <c r="Y107" s="4602"/>
      <c r="Z107" s="4602"/>
      <c r="AA107" s="4603"/>
      <c r="AB107" s="2625">
        <v>16</v>
      </c>
      <c r="AC107" s="2811">
        <v>0.98499999999999999</v>
      </c>
      <c r="AD107" s="425"/>
      <c r="AE107" s="423"/>
      <c r="AF107" s="423"/>
      <c r="AG107" s="423"/>
      <c r="AH107" s="423"/>
      <c r="AI107" s="423"/>
      <c r="AJ107" s="423"/>
      <c r="AK107" s="358"/>
      <c r="AL107" s="423"/>
      <c r="AM107" s="423"/>
      <c r="AN107" s="423"/>
      <c r="AO107" s="423"/>
      <c r="AP107" s="423"/>
      <c r="AQ107" s="423"/>
      <c r="AR107" s="423"/>
      <c r="AS107" s="423"/>
      <c r="AT107" s="423"/>
      <c r="AU107" s="423"/>
      <c r="AV107" s="423"/>
      <c r="AW107" s="423"/>
      <c r="AX107" s="423"/>
      <c r="AY107" s="423"/>
      <c r="AZ107" s="423"/>
      <c r="BA107" s="423"/>
      <c r="BB107" s="425"/>
      <c r="BC107" s="1761"/>
      <c r="BD107" s="1761"/>
      <c r="BE107" s="4609" t="s">
        <v>1762</v>
      </c>
      <c r="BF107" s="4609"/>
      <c r="BG107" s="362"/>
      <c r="BH107" s="362"/>
      <c r="BI107" s="362"/>
      <c r="BJ107" s="362"/>
      <c r="BK107" s="362"/>
      <c r="BL107" s="362"/>
      <c r="BM107" s="344"/>
      <c r="BN107" s="3493"/>
    </row>
    <row r="108" spans="1:66" s="342" customFormat="1" ht="15" customHeight="1">
      <c r="A108" s="362"/>
      <c r="B108" s="4601"/>
      <c r="C108" s="4602"/>
      <c r="D108" s="4602"/>
      <c r="E108" s="4602"/>
      <c r="F108" s="4602"/>
      <c r="G108" s="4602"/>
      <c r="H108" s="4602"/>
      <c r="I108" s="4602"/>
      <c r="J108" s="4602"/>
      <c r="K108" s="4602"/>
      <c r="L108" s="4602"/>
      <c r="M108" s="4602"/>
      <c r="N108" s="4602"/>
      <c r="O108" s="4602"/>
      <c r="P108" s="4602"/>
      <c r="Q108" s="4602"/>
      <c r="R108" s="4602"/>
      <c r="S108" s="4602"/>
      <c r="T108" s="4602"/>
      <c r="U108" s="4602"/>
      <c r="V108" s="4602"/>
      <c r="W108" s="4602"/>
      <c r="X108" s="4602"/>
      <c r="Y108" s="4602"/>
      <c r="Z108" s="4602"/>
      <c r="AA108" s="4603"/>
      <c r="AB108" s="2625">
        <f>(AB107+AB109)/2</f>
        <v>16.5</v>
      </c>
      <c r="AC108" s="2625">
        <f>(AC107+AC109)/2</f>
        <v>0.97049999999999992</v>
      </c>
      <c r="AD108" s="425"/>
      <c r="AE108" s="423"/>
      <c r="AF108" s="423"/>
      <c r="AG108" s="423"/>
      <c r="AH108" s="423"/>
      <c r="AI108" s="423"/>
      <c r="AJ108" s="423"/>
      <c r="AK108" s="358"/>
      <c r="AL108" s="423"/>
      <c r="AM108" s="423"/>
      <c r="AN108" s="423"/>
      <c r="AO108" s="423"/>
      <c r="AP108" s="423"/>
      <c r="AQ108" s="423"/>
      <c r="AR108" s="423"/>
      <c r="AS108" s="423"/>
      <c r="AT108" s="423"/>
      <c r="AU108" s="423"/>
      <c r="AV108" s="423"/>
      <c r="AW108" s="423"/>
      <c r="AX108" s="423"/>
      <c r="AY108" s="423"/>
      <c r="AZ108" s="423"/>
      <c r="BA108" s="423"/>
      <c r="BB108" s="425"/>
      <c r="BC108" s="1761"/>
      <c r="BD108" s="1761"/>
      <c r="BE108" s="4610" t="s">
        <v>1871</v>
      </c>
      <c r="BF108" s="4610"/>
      <c r="BG108" s="4610"/>
      <c r="BH108" s="4610"/>
      <c r="BI108" s="4610"/>
      <c r="BJ108" s="4610"/>
      <c r="BK108" s="4610"/>
      <c r="BL108" s="4610"/>
      <c r="BM108" s="344"/>
      <c r="BN108" s="3493"/>
    </row>
    <row r="109" spans="1:66" s="342" customFormat="1" ht="15" customHeight="1">
      <c r="A109" s="362"/>
      <c r="B109" s="4601"/>
      <c r="C109" s="4602"/>
      <c r="D109" s="4602"/>
      <c r="E109" s="4602"/>
      <c r="F109" s="4602"/>
      <c r="G109" s="4602"/>
      <c r="H109" s="4602"/>
      <c r="I109" s="4602"/>
      <c r="J109" s="4602"/>
      <c r="K109" s="4602"/>
      <c r="L109" s="4602"/>
      <c r="M109" s="4602"/>
      <c r="N109" s="4602"/>
      <c r="O109" s="4602"/>
      <c r="P109" s="4602"/>
      <c r="Q109" s="4602"/>
      <c r="R109" s="4602"/>
      <c r="S109" s="4602"/>
      <c r="T109" s="4602"/>
      <c r="U109" s="4602"/>
      <c r="V109" s="4602"/>
      <c r="W109" s="4602"/>
      <c r="X109" s="4602"/>
      <c r="Y109" s="4602"/>
      <c r="Z109" s="4602"/>
      <c r="AA109" s="4603"/>
      <c r="AB109" s="2625">
        <v>17</v>
      </c>
      <c r="AC109" s="2811">
        <v>0.95599999999999996</v>
      </c>
      <c r="AD109" s="425"/>
      <c r="AE109" s="423"/>
      <c r="AF109" s="423"/>
      <c r="AG109" s="423"/>
      <c r="AH109" s="423"/>
      <c r="AI109" s="423"/>
      <c r="AJ109" s="423"/>
      <c r="AK109" s="358"/>
      <c r="AL109" s="423"/>
      <c r="AM109" s="423"/>
      <c r="AN109" s="423"/>
      <c r="AO109" s="423"/>
      <c r="AP109" s="423"/>
      <c r="AQ109" s="423"/>
      <c r="AR109" s="423"/>
      <c r="AS109" s="423"/>
      <c r="AT109" s="423"/>
      <c r="AU109" s="423"/>
      <c r="AV109" s="423"/>
      <c r="AW109" s="423"/>
      <c r="AX109" s="423"/>
      <c r="AY109" s="423"/>
      <c r="AZ109" s="423"/>
      <c r="BA109" s="423"/>
      <c r="BB109" s="425"/>
      <c r="BC109" s="1761"/>
      <c r="BD109" s="1761"/>
      <c r="BE109" s="4610"/>
      <c r="BF109" s="4610"/>
      <c r="BG109" s="4610"/>
      <c r="BH109" s="4610"/>
      <c r="BI109" s="4610"/>
      <c r="BJ109" s="4610"/>
      <c r="BK109" s="4610"/>
      <c r="BL109" s="4610"/>
      <c r="BM109" s="344"/>
      <c r="BN109" s="3493"/>
    </row>
    <row r="110" spans="1:66" s="342" customFormat="1" ht="15" customHeight="1">
      <c r="A110" s="362"/>
      <c r="B110" s="4601"/>
      <c r="C110" s="4602"/>
      <c r="D110" s="4602"/>
      <c r="E110" s="4602"/>
      <c r="F110" s="4602"/>
      <c r="G110" s="4602"/>
      <c r="H110" s="4602"/>
      <c r="I110" s="4602"/>
      <c r="J110" s="4602"/>
      <c r="K110" s="4602"/>
      <c r="L110" s="4602"/>
      <c r="M110" s="4602"/>
      <c r="N110" s="4602"/>
      <c r="O110" s="4602"/>
      <c r="P110" s="4602"/>
      <c r="Q110" s="4602"/>
      <c r="R110" s="4602"/>
      <c r="S110" s="4602"/>
      <c r="T110" s="4602"/>
      <c r="U110" s="4602"/>
      <c r="V110" s="4602"/>
      <c r="W110" s="4602"/>
      <c r="X110" s="4602"/>
      <c r="Y110" s="4602"/>
      <c r="Z110" s="4602"/>
      <c r="AA110" s="4603"/>
      <c r="AB110" s="2625">
        <f>(AB109+AB112)/2</f>
        <v>17.5</v>
      </c>
      <c r="AC110" s="2625">
        <f>(AC109+AC112)/2</f>
        <v>0.94199999999999995</v>
      </c>
      <c r="AD110" s="425"/>
      <c r="AE110" s="423"/>
      <c r="AF110" s="423"/>
      <c r="AG110" s="423"/>
      <c r="AH110" s="423"/>
      <c r="AI110" s="423"/>
      <c r="AJ110" s="423"/>
      <c r="AK110" s="358"/>
      <c r="AL110" s="423"/>
      <c r="AM110" s="423"/>
      <c r="AN110" s="423"/>
      <c r="AO110" s="423"/>
      <c r="AP110" s="423"/>
      <c r="AQ110" s="423"/>
      <c r="AR110" s="423"/>
      <c r="AS110" s="423"/>
      <c r="AT110" s="423"/>
      <c r="AU110" s="423"/>
      <c r="AV110" s="423"/>
      <c r="AW110" s="423"/>
      <c r="AX110" s="423"/>
      <c r="AY110" s="423"/>
      <c r="AZ110" s="423"/>
      <c r="BA110" s="423"/>
      <c r="BB110" s="425"/>
      <c r="BC110" s="1761"/>
      <c r="BD110" s="1761"/>
      <c r="BE110" s="4610"/>
      <c r="BF110" s="4610"/>
      <c r="BG110" s="4610"/>
      <c r="BH110" s="4610"/>
      <c r="BI110" s="4610"/>
      <c r="BJ110" s="4610"/>
      <c r="BK110" s="4610"/>
      <c r="BL110" s="4610"/>
      <c r="BM110" s="2607"/>
      <c r="BN110" s="3493"/>
    </row>
    <row r="111" spans="1:66" s="342" customFormat="1" ht="15" customHeight="1">
      <c r="A111" s="362"/>
      <c r="B111" s="4604"/>
      <c r="C111" s="4602"/>
      <c r="D111" s="4602"/>
      <c r="E111" s="4602"/>
      <c r="F111" s="4602"/>
      <c r="G111" s="4602"/>
      <c r="H111" s="4602"/>
      <c r="I111" s="4602"/>
      <c r="J111" s="4602"/>
      <c r="K111" s="4602"/>
      <c r="L111" s="4602"/>
      <c r="M111" s="4602"/>
      <c r="N111" s="4602"/>
      <c r="O111" s="4602"/>
      <c r="P111" s="4602"/>
      <c r="Q111" s="4602"/>
      <c r="R111" s="4602"/>
      <c r="S111" s="4602"/>
      <c r="T111" s="4602"/>
      <c r="U111" s="4602"/>
      <c r="V111" s="4602"/>
      <c r="W111" s="4602"/>
      <c r="X111" s="4602"/>
      <c r="Y111" s="4602"/>
      <c r="Z111" s="4602"/>
      <c r="AA111" s="4603"/>
      <c r="AB111" s="2625"/>
      <c r="AC111" s="2625"/>
      <c r="AD111" s="425"/>
      <c r="AE111" s="423"/>
      <c r="AF111" s="423"/>
      <c r="AG111" s="423"/>
      <c r="AH111" s="423"/>
      <c r="AI111" s="423"/>
      <c r="AJ111" s="423"/>
      <c r="AK111" s="358"/>
      <c r="AL111" s="423"/>
      <c r="AM111" s="423"/>
      <c r="AN111" s="423"/>
      <c r="AO111" s="423"/>
      <c r="AP111" s="423"/>
      <c r="AQ111" s="423"/>
      <c r="AR111" s="423"/>
      <c r="AS111" s="423"/>
      <c r="AT111" s="423"/>
      <c r="AU111" s="423"/>
      <c r="AV111" s="423"/>
      <c r="AW111" s="423"/>
      <c r="AX111" s="423"/>
      <c r="AY111" s="423"/>
      <c r="AZ111" s="423"/>
      <c r="BA111" s="423"/>
      <c r="BB111" s="425"/>
      <c r="BC111" s="1761"/>
      <c r="BD111" s="1761"/>
      <c r="BE111" s="3734"/>
      <c r="BF111" s="3734"/>
      <c r="BG111" s="3734"/>
      <c r="BH111" s="3734"/>
      <c r="BI111" s="3734"/>
      <c r="BJ111" s="3734"/>
      <c r="BK111" s="3734"/>
      <c r="BL111" s="3734"/>
      <c r="BM111" s="2607"/>
      <c r="BN111" s="3733"/>
    </row>
    <row r="112" spans="1:66" s="342" customFormat="1" ht="15" customHeight="1">
      <c r="A112" s="344"/>
      <c r="B112" s="4601"/>
      <c r="C112" s="4602"/>
      <c r="D112" s="4602"/>
      <c r="E112" s="4602"/>
      <c r="F112" s="4602"/>
      <c r="G112" s="4602"/>
      <c r="H112" s="4602"/>
      <c r="I112" s="4602"/>
      <c r="J112" s="4602"/>
      <c r="K112" s="4602"/>
      <c r="L112" s="4602"/>
      <c r="M112" s="4602"/>
      <c r="N112" s="4602"/>
      <c r="O112" s="4602"/>
      <c r="P112" s="4602"/>
      <c r="Q112" s="4602"/>
      <c r="R112" s="4602"/>
      <c r="S112" s="4602"/>
      <c r="T112" s="4602"/>
      <c r="U112" s="4602"/>
      <c r="V112" s="4602"/>
      <c r="W112" s="4602"/>
      <c r="X112" s="4602"/>
      <c r="Y112" s="4602"/>
      <c r="Z112" s="4602"/>
      <c r="AA112" s="4603"/>
      <c r="AB112" s="2625">
        <v>18</v>
      </c>
      <c r="AC112" s="2811">
        <v>0.92800000000000005</v>
      </c>
      <c r="AD112" s="425"/>
      <c r="AE112" s="423"/>
      <c r="AF112" s="423"/>
      <c r="AG112" s="423"/>
      <c r="AH112" s="423"/>
      <c r="AI112" s="423"/>
      <c r="AJ112" s="423"/>
      <c r="AK112" s="358"/>
      <c r="AL112" s="423"/>
      <c r="AM112" s="423"/>
      <c r="AN112" s="423"/>
      <c r="AO112" s="423"/>
      <c r="AP112" s="423"/>
      <c r="AQ112" s="423"/>
      <c r="AR112" s="423"/>
      <c r="AS112" s="423"/>
      <c r="AT112" s="423"/>
      <c r="AU112" s="423"/>
      <c r="AV112" s="423"/>
      <c r="AW112" s="423"/>
      <c r="AX112" s="423"/>
      <c r="AY112" s="423"/>
      <c r="AZ112" s="423"/>
      <c r="BA112" s="423"/>
      <c r="BB112" s="425"/>
      <c r="BC112" s="1761"/>
      <c r="BD112" s="1761"/>
      <c r="BE112" s="1761"/>
      <c r="BF112" s="4614"/>
      <c r="BG112" s="4614"/>
      <c r="BH112" s="4614"/>
      <c r="BI112" s="4614"/>
      <c r="BJ112" s="4617" t="s">
        <v>231</v>
      </c>
      <c r="BK112" s="4617"/>
      <c r="BL112" s="4617"/>
      <c r="BM112" s="4617"/>
      <c r="BN112" s="3493"/>
    </row>
    <row r="113" spans="1:66" s="342" customFormat="1" ht="15" customHeight="1">
      <c r="A113" s="344"/>
      <c r="B113" s="4601"/>
      <c r="C113" s="4602"/>
      <c r="D113" s="4602"/>
      <c r="E113" s="4602"/>
      <c r="F113" s="4602"/>
      <c r="G113" s="4602"/>
      <c r="H113" s="4602"/>
      <c r="I113" s="4602"/>
      <c r="J113" s="4602"/>
      <c r="K113" s="4602"/>
      <c r="L113" s="4602"/>
      <c r="M113" s="4602"/>
      <c r="N113" s="4602"/>
      <c r="O113" s="4602"/>
      <c r="P113" s="4602"/>
      <c r="Q113" s="4602"/>
      <c r="R113" s="4602"/>
      <c r="S113" s="4602"/>
      <c r="T113" s="4602"/>
      <c r="U113" s="4602"/>
      <c r="V113" s="4602"/>
      <c r="W113" s="4602"/>
      <c r="X113" s="4602"/>
      <c r="Y113" s="4602"/>
      <c r="Z113" s="4602"/>
      <c r="AA113" s="4603"/>
      <c r="AB113" s="2625">
        <f>(AB112+AB114)/2</f>
        <v>18.5</v>
      </c>
      <c r="AC113" s="2625">
        <f>(AC112+AC114)/2</f>
        <v>0.91500000000000004</v>
      </c>
      <c r="AD113" s="425"/>
      <c r="AE113" s="423"/>
      <c r="AF113" s="423"/>
      <c r="AG113" s="423"/>
      <c r="AH113" s="423"/>
      <c r="AI113" s="423"/>
      <c r="AJ113" s="423"/>
      <c r="AK113" s="358"/>
      <c r="AL113" s="423"/>
      <c r="AM113" s="423"/>
      <c r="AN113" s="423"/>
      <c r="AO113" s="423"/>
      <c r="AP113" s="423"/>
      <c r="AQ113" s="423"/>
      <c r="AR113" s="423"/>
      <c r="AS113" s="423"/>
      <c r="AT113" s="423"/>
      <c r="AU113" s="423"/>
      <c r="AV113" s="423"/>
      <c r="AW113" s="423"/>
      <c r="AX113" s="423"/>
      <c r="AY113" s="423"/>
      <c r="AZ113" s="423"/>
      <c r="BA113" s="423"/>
      <c r="BB113" s="425"/>
      <c r="BC113" s="1761"/>
      <c r="BD113" s="1761"/>
      <c r="BE113" s="1761"/>
      <c r="BF113" s="3899" t="s">
        <v>802</v>
      </c>
      <c r="BG113" s="3899"/>
      <c r="BH113" s="3899"/>
      <c r="BI113" s="3899"/>
      <c r="BJ113" s="3900" t="s">
        <v>1</v>
      </c>
      <c r="BK113" s="3900"/>
      <c r="BL113" s="3900"/>
      <c r="BM113" s="3900"/>
      <c r="BN113" s="3493"/>
    </row>
    <row r="114" spans="1:66" s="342" customFormat="1" ht="15" customHeight="1">
      <c r="A114" s="344"/>
      <c r="B114" s="4601"/>
      <c r="C114" s="4602"/>
      <c r="D114" s="4602"/>
      <c r="E114" s="4602"/>
      <c r="F114" s="4602"/>
      <c r="G114" s="4602"/>
      <c r="H114" s="4602"/>
      <c r="I114" s="4602"/>
      <c r="J114" s="4602"/>
      <c r="K114" s="4602"/>
      <c r="L114" s="4602"/>
      <c r="M114" s="4602"/>
      <c r="N114" s="4602"/>
      <c r="O114" s="4602"/>
      <c r="P114" s="4602"/>
      <c r="Q114" s="4602"/>
      <c r="R114" s="4602"/>
      <c r="S114" s="4602"/>
      <c r="T114" s="4602"/>
      <c r="U114" s="4602"/>
      <c r="V114" s="4602"/>
      <c r="W114" s="4602"/>
      <c r="X114" s="4602"/>
      <c r="Y114" s="4602"/>
      <c r="Z114" s="4602"/>
      <c r="AA114" s="4603"/>
      <c r="AB114" s="2625">
        <v>19</v>
      </c>
      <c r="AC114" s="2811">
        <v>0.90200000000000002</v>
      </c>
      <c r="AD114" s="425"/>
      <c r="AE114" s="423"/>
      <c r="AF114" s="423"/>
      <c r="AG114" s="423"/>
      <c r="AH114" s="423"/>
      <c r="AI114" s="423"/>
      <c r="AJ114" s="423"/>
      <c r="AK114" s="358"/>
      <c r="AL114" s="423"/>
      <c r="AM114" s="423"/>
      <c r="AN114" s="423"/>
      <c r="AO114" s="423"/>
      <c r="AP114" s="423"/>
      <c r="AQ114" s="423"/>
      <c r="AR114" s="423"/>
      <c r="AS114" s="423"/>
      <c r="AT114" s="423"/>
      <c r="AU114" s="423"/>
      <c r="AV114" s="423"/>
      <c r="AW114" s="423"/>
      <c r="AX114" s="423"/>
      <c r="AY114" s="423"/>
      <c r="AZ114" s="423"/>
      <c r="BA114" s="423"/>
      <c r="BB114" s="425"/>
      <c r="BC114" s="344"/>
      <c r="BD114" s="344"/>
      <c r="BE114" s="344"/>
      <c r="BF114" s="4613" t="s">
        <v>1782</v>
      </c>
      <c r="BG114" s="4613"/>
      <c r="BH114" s="4613"/>
      <c r="BI114" s="4613"/>
      <c r="BJ114" s="3900" t="s">
        <v>233</v>
      </c>
      <c r="BK114" s="3900"/>
      <c r="BL114" s="3900"/>
      <c r="BM114" s="3900"/>
      <c r="BN114" s="322"/>
    </row>
    <row r="115" spans="1:66" s="358" customFormat="1" ht="15" customHeight="1">
      <c r="A115" s="344"/>
      <c r="B115" s="4605"/>
      <c r="C115" s="4606"/>
      <c r="D115" s="4606"/>
      <c r="E115" s="4606"/>
      <c r="F115" s="4606"/>
      <c r="G115" s="4606"/>
      <c r="H115" s="4606"/>
      <c r="I115" s="4606"/>
      <c r="J115" s="4606"/>
      <c r="K115" s="4606"/>
      <c r="L115" s="4606"/>
      <c r="M115" s="4606"/>
      <c r="N115" s="4606"/>
      <c r="O115" s="4606"/>
      <c r="P115" s="4606"/>
      <c r="Q115" s="4606"/>
      <c r="R115" s="4606"/>
      <c r="S115" s="4606"/>
      <c r="T115" s="4606"/>
      <c r="U115" s="4606"/>
      <c r="V115" s="4606"/>
      <c r="W115" s="4606"/>
      <c r="X115" s="4606"/>
      <c r="Y115" s="4606"/>
      <c r="Z115" s="4606"/>
      <c r="AA115" s="4607"/>
      <c r="AB115" s="2625">
        <f>(AB114+AB116)/2</f>
        <v>19.5</v>
      </c>
      <c r="AC115" s="2625">
        <f>(AC114+AC116)/2</f>
        <v>0.88949999999999996</v>
      </c>
      <c r="AD115" s="425"/>
      <c r="AE115" s="423"/>
      <c r="AF115" s="423"/>
      <c r="AG115" s="423"/>
      <c r="AH115" s="423"/>
      <c r="AI115" s="423"/>
      <c r="AJ115" s="423"/>
      <c r="AL115" s="423"/>
      <c r="AM115" s="423"/>
      <c r="AN115" s="423"/>
      <c r="AO115" s="423"/>
      <c r="AP115" s="423"/>
      <c r="AQ115" s="423"/>
      <c r="AR115" s="423"/>
      <c r="AS115" s="423"/>
      <c r="AT115" s="423"/>
      <c r="AU115" s="423"/>
      <c r="AV115" s="423"/>
      <c r="AW115" s="423"/>
      <c r="AX115" s="423"/>
      <c r="AY115" s="423"/>
      <c r="AZ115" s="423"/>
      <c r="BA115" s="423"/>
      <c r="BB115" s="425"/>
      <c r="BC115" s="63"/>
      <c r="BD115" s="344"/>
      <c r="BE115" s="344"/>
      <c r="BF115" s="3899" t="s">
        <v>1783</v>
      </c>
      <c r="BG115" s="3899"/>
      <c r="BH115" s="3899"/>
      <c r="BI115" s="3899"/>
      <c r="BJ115" s="3900" t="s">
        <v>1068</v>
      </c>
      <c r="BK115" s="3900"/>
      <c r="BL115" s="3900"/>
      <c r="BM115" s="3900"/>
      <c r="BN115" s="3493"/>
    </row>
    <row r="116" spans="1:66" s="358" customFormat="1" ht="15" customHeight="1">
      <c r="A116" s="3915" t="s">
        <v>1816</v>
      </c>
      <c r="B116" s="3915"/>
      <c r="C116" s="3915"/>
      <c r="D116" s="3915"/>
      <c r="E116" s="3915"/>
      <c r="F116" s="3915"/>
      <c r="G116" s="3915"/>
      <c r="H116" s="3915"/>
      <c r="I116" s="3915"/>
      <c r="J116" s="3915"/>
      <c r="K116" s="63"/>
      <c r="L116" s="63"/>
      <c r="M116" s="63"/>
      <c r="N116" s="63"/>
      <c r="O116" s="63"/>
      <c r="P116" s="63"/>
      <c r="Q116" s="63"/>
      <c r="R116" s="63"/>
      <c r="S116" s="63"/>
      <c r="T116" s="63"/>
      <c r="U116" s="63"/>
      <c r="V116" s="63"/>
      <c r="W116" s="63"/>
      <c r="X116" s="63"/>
      <c r="Y116" s="63"/>
      <c r="Z116" s="63"/>
      <c r="AA116" s="63"/>
      <c r="AB116" s="2625">
        <v>20</v>
      </c>
      <c r="AC116" s="2811">
        <v>0.877</v>
      </c>
      <c r="AD116" s="425"/>
      <c r="AE116" s="423"/>
      <c r="AF116" s="423"/>
      <c r="AG116" s="423"/>
      <c r="AH116" s="423"/>
      <c r="AI116" s="423"/>
      <c r="AJ116" s="423"/>
      <c r="AL116" s="423"/>
      <c r="AM116" s="423"/>
      <c r="AN116" s="423"/>
      <c r="AO116" s="423"/>
      <c r="AP116" s="423"/>
      <c r="AQ116" s="423"/>
      <c r="AR116" s="423"/>
      <c r="AS116" s="423"/>
      <c r="AT116" s="423"/>
      <c r="AU116" s="423"/>
      <c r="AV116" s="423"/>
      <c r="AW116" s="423"/>
      <c r="AX116" s="423"/>
      <c r="AY116" s="423"/>
      <c r="AZ116" s="423"/>
      <c r="BA116" s="423"/>
      <c r="BB116" s="425"/>
      <c r="BC116" s="63"/>
      <c r="BD116" s="363"/>
      <c r="BE116" s="363"/>
      <c r="BF116" s="4618" t="s">
        <v>234</v>
      </c>
      <c r="BG116" s="4618"/>
      <c r="BH116" s="4618"/>
      <c r="BI116" s="4618"/>
      <c r="BJ116" s="4619" t="s">
        <v>235</v>
      </c>
      <c r="BK116" s="4619"/>
      <c r="BL116" s="4619"/>
      <c r="BM116" s="4619"/>
      <c r="BN116" s="3493"/>
    </row>
    <row r="117" spans="1:66" s="358" customFormat="1" ht="12.75" customHeight="1">
      <c r="A117" s="65"/>
      <c r="B117" s="65"/>
      <c r="C117" s="65"/>
      <c r="D117" s="65"/>
      <c r="E117" s="65"/>
      <c r="F117" s="65"/>
      <c r="G117" s="65"/>
      <c r="H117" s="65"/>
      <c r="I117" s="363"/>
      <c r="J117" s="363"/>
      <c r="K117" s="363"/>
      <c r="L117" s="363"/>
      <c r="M117" s="363"/>
      <c r="N117" s="363"/>
      <c r="O117" s="363"/>
      <c r="P117" s="363"/>
      <c r="Q117" s="65"/>
      <c r="R117" s="65"/>
      <c r="S117" s="65"/>
      <c r="T117" s="65"/>
      <c r="U117" s="65"/>
      <c r="V117" s="65"/>
      <c r="W117" s="65"/>
      <c r="X117" s="65"/>
      <c r="Y117" s="65"/>
      <c r="Z117" s="65"/>
      <c r="AA117" s="65"/>
      <c r="AB117" s="2625">
        <f>(AB116+AB118)/2</f>
        <v>20.5</v>
      </c>
      <c r="AC117" s="2625">
        <f>(AC116+AC118)/2</f>
        <v>0.86450000000000005</v>
      </c>
      <c r="AD117" s="425"/>
      <c r="AE117" s="423"/>
      <c r="AF117" s="423"/>
      <c r="AG117" s="423"/>
      <c r="AH117" s="423"/>
      <c r="AI117" s="423"/>
      <c r="AJ117" s="423"/>
      <c r="AL117" s="423"/>
      <c r="AM117" s="423"/>
      <c r="AN117" s="423"/>
      <c r="AO117" s="423"/>
      <c r="AP117" s="423"/>
      <c r="AQ117" s="423"/>
      <c r="AR117" s="423"/>
      <c r="AS117" s="423"/>
      <c r="AT117" s="423"/>
      <c r="AU117" s="423"/>
      <c r="AV117" s="423"/>
      <c r="AW117" s="423"/>
      <c r="AX117" s="423"/>
      <c r="AY117" s="423"/>
      <c r="AZ117" s="423"/>
      <c r="BA117" s="423"/>
      <c r="BB117" s="425"/>
      <c r="BC117" s="362"/>
      <c r="BD117" s="363"/>
      <c r="BE117" s="363"/>
      <c r="BF117" s="363"/>
      <c r="BG117" s="363"/>
      <c r="BH117" s="363"/>
      <c r="BI117" s="363"/>
      <c r="BJ117" s="363"/>
      <c r="BK117" s="363"/>
      <c r="BL117" s="363"/>
      <c r="BM117" s="363"/>
      <c r="BN117" s="3493"/>
    </row>
    <row r="118" spans="1:66" s="358" customFormat="1" ht="14.25" customHeight="1">
      <c r="A118" s="4620" t="s">
        <v>236</v>
      </c>
      <c r="B118" s="4620"/>
      <c r="C118" s="65"/>
      <c r="D118" s="65"/>
      <c r="E118" s="65"/>
      <c r="F118" s="65"/>
      <c r="G118" s="65"/>
      <c r="H118" s="65"/>
      <c r="I118" s="363"/>
      <c r="J118" s="363"/>
      <c r="K118" s="363"/>
      <c r="L118" s="363"/>
      <c r="M118" s="363"/>
      <c r="N118" s="363"/>
      <c r="O118" s="363"/>
      <c r="P118" s="363"/>
      <c r="Q118" s="65"/>
      <c r="R118" s="65"/>
      <c r="S118" s="65"/>
      <c r="T118" s="363"/>
      <c r="U118" s="363"/>
      <c r="V118" s="363"/>
      <c r="W118" s="363"/>
      <c r="X118" s="363"/>
      <c r="Y118" s="363"/>
      <c r="Z118" s="363"/>
      <c r="AA118" s="363"/>
      <c r="AB118" s="2625">
        <v>21</v>
      </c>
      <c r="AC118" s="2811">
        <v>0.85199999999999998</v>
      </c>
      <c r="AD118" s="425"/>
      <c r="AE118" s="423"/>
      <c r="AF118" s="423"/>
      <c r="AG118" s="423"/>
      <c r="AH118" s="423"/>
      <c r="AI118" s="423"/>
      <c r="AJ118" s="423"/>
      <c r="AL118" s="423"/>
      <c r="AM118" s="423"/>
      <c r="AN118" s="423"/>
      <c r="AO118" s="423"/>
      <c r="AP118" s="423"/>
      <c r="AQ118" s="423"/>
      <c r="AR118" s="423"/>
      <c r="AS118" s="423"/>
      <c r="AT118" s="423"/>
      <c r="AU118" s="423"/>
      <c r="AV118" s="423"/>
      <c r="AW118" s="423"/>
      <c r="AX118" s="423"/>
      <c r="AY118" s="423"/>
      <c r="AZ118" s="423"/>
      <c r="BA118" s="423"/>
      <c r="BB118" s="425"/>
      <c r="BC118" s="362"/>
      <c r="BD118" s="363"/>
      <c r="BE118" s="363"/>
      <c r="BF118" s="363"/>
      <c r="BG118" s="363"/>
      <c r="BH118" s="363"/>
      <c r="BI118" s="363"/>
      <c r="BK118" s="362"/>
      <c r="BL118" s="362"/>
      <c r="BM118" s="362"/>
      <c r="BN118" s="3493"/>
    </row>
    <row r="119" spans="1:66" s="342" customFormat="1" ht="14.25" customHeight="1">
      <c r="A119" s="1762"/>
      <c r="B119" s="4621" t="s">
        <v>238</v>
      </c>
      <c r="C119" s="4460"/>
      <c r="D119" s="4460"/>
      <c r="E119" s="4460"/>
      <c r="F119" s="4460"/>
      <c r="G119" s="4460"/>
      <c r="H119" s="4515"/>
      <c r="I119" s="363"/>
      <c r="J119" s="4608" t="s">
        <v>237</v>
      </c>
      <c r="K119" s="4608"/>
      <c r="L119" s="4608"/>
      <c r="M119" s="4608"/>
      <c r="N119" s="4608"/>
      <c r="O119" s="3505"/>
      <c r="P119" s="363"/>
      <c r="Q119" s="65"/>
      <c r="R119" s="65"/>
      <c r="S119" s="65"/>
      <c r="T119" s="363"/>
      <c r="U119" s="66"/>
      <c r="V119" s="363"/>
      <c r="W119" s="363"/>
      <c r="X119" s="363"/>
      <c r="Y119" s="363"/>
      <c r="Z119" s="363"/>
      <c r="AA119" s="363"/>
      <c r="AB119" s="2625">
        <f>(AB118+AB120)/2</f>
        <v>21.5</v>
      </c>
      <c r="AC119" s="2625">
        <f>(AC118+AC120)/2</f>
        <v>0.83949999999999991</v>
      </c>
      <c r="AD119" s="425"/>
      <c r="AE119" s="423"/>
      <c r="AF119" s="423"/>
      <c r="AG119" s="423"/>
      <c r="AH119" s="423"/>
      <c r="AI119" s="423"/>
      <c r="AJ119" s="423"/>
      <c r="AK119" s="358"/>
      <c r="AL119" s="423"/>
      <c r="AM119" s="423"/>
      <c r="AN119" s="423"/>
      <c r="AO119" s="423"/>
      <c r="AP119" s="423"/>
      <c r="AQ119" s="423"/>
      <c r="AR119" s="423"/>
      <c r="AS119" s="423"/>
      <c r="AT119" s="423"/>
      <c r="AU119" s="423"/>
      <c r="AV119" s="423"/>
      <c r="AW119" s="423"/>
      <c r="AX119" s="423"/>
      <c r="AY119" s="423"/>
      <c r="AZ119" s="423"/>
      <c r="BA119" s="423"/>
      <c r="BB119" s="425"/>
      <c r="BC119" s="362"/>
      <c r="BD119" s="362"/>
      <c r="BE119" s="362"/>
      <c r="BF119" s="362"/>
      <c r="BG119" s="362"/>
      <c r="BH119" s="362"/>
      <c r="BI119" s="362"/>
      <c r="BJ119" s="362"/>
      <c r="BK119" s="362"/>
      <c r="BL119" s="362"/>
      <c r="BM119" s="362"/>
      <c r="BN119" s="3493"/>
    </row>
    <row r="120" spans="1:66" s="342" customFormat="1" ht="14.25" customHeight="1">
      <c r="A120" s="306" t="s">
        <v>240</v>
      </c>
      <c r="B120" s="3522"/>
      <c r="C120" s="67" t="s">
        <v>41</v>
      </c>
      <c r="D120" s="68" t="s">
        <v>43</v>
      </c>
      <c r="E120" s="69"/>
      <c r="F120" s="70"/>
      <c r="G120" s="71"/>
      <c r="H120" s="72"/>
      <c r="I120" s="363"/>
      <c r="J120" s="15" t="s">
        <v>50</v>
      </c>
      <c r="K120" s="15" t="s">
        <v>43</v>
      </c>
      <c r="L120" s="15" t="s">
        <v>239</v>
      </c>
      <c r="M120" s="363"/>
      <c r="N120" s="363"/>
      <c r="O120" s="363"/>
      <c r="P120" s="363"/>
      <c r="Q120" s="65"/>
      <c r="R120" s="65"/>
      <c r="S120" s="65"/>
      <c r="T120" s="363"/>
      <c r="U120" s="363"/>
      <c r="V120" s="363"/>
      <c r="W120" s="363"/>
      <c r="X120" s="363"/>
      <c r="Y120" s="363"/>
      <c r="Z120" s="363"/>
      <c r="AA120" s="363"/>
      <c r="AB120" s="2625">
        <v>22</v>
      </c>
      <c r="AC120" s="2811">
        <v>0.82699999999999996</v>
      </c>
      <c r="AD120" s="425"/>
      <c r="AE120" s="423"/>
      <c r="AF120" s="423"/>
      <c r="AG120" s="423"/>
      <c r="AH120" s="423"/>
      <c r="AI120" s="423"/>
      <c r="AJ120" s="423"/>
      <c r="AK120" s="358"/>
      <c r="AL120" s="423"/>
      <c r="AM120" s="423"/>
      <c r="AN120" s="423"/>
      <c r="AO120" s="423"/>
      <c r="AP120" s="423"/>
      <c r="AQ120" s="423"/>
      <c r="AR120" s="423"/>
      <c r="AS120" s="423"/>
      <c r="AT120" s="423"/>
      <c r="AU120" s="423"/>
      <c r="AV120" s="423"/>
      <c r="AW120" s="423"/>
      <c r="AX120" s="423"/>
      <c r="AY120" s="423"/>
      <c r="AZ120" s="423"/>
      <c r="BA120" s="423"/>
      <c r="BB120" s="425"/>
      <c r="BC120" s="363"/>
      <c r="BD120" s="363"/>
      <c r="BE120" s="363"/>
      <c r="BF120" s="363"/>
      <c r="BG120" s="363"/>
      <c r="BH120" s="363"/>
      <c r="BI120" s="363"/>
      <c r="BJ120" s="363"/>
      <c r="BK120" s="363"/>
      <c r="BL120" s="363"/>
      <c r="BM120" s="363"/>
      <c r="BN120" s="3493"/>
    </row>
    <row r="121" spans="1:66" s="342" customFormat="1" ht="14.25" customHeight="1">
      <c r="A121" s="28"/>
      <c r="B121" s="421" t="s">
        <v>241</v>
      </c>
      <c r="C121" s="98" t="s">
        <v>242</v>
      </c>
      <c r="D121" s="68" t="s">
        <v>50</v>
      </c>
      <c r="E121" s="74"/>
      <c r="F121" s="70"/>
      <c r="G121" s="1763"/>
      <c r="H121" s="1764"/>
      <c r="I121" s="363"/>
      <c r="J121" s="73">
        <f>K121*2.65-1.4</f>
        <v>9.9949999999999992</v>
      </c>
      <c r="K121" s="1912">
        <v>4.3</v>
      </c>
      <c r="L121" s="73">
        <f>0.552+0.375*K121</f>
        <v>2.1644999999999999</v>
      </c>
      <c r="M121" s="363"/>
      <c r="N121" s="363"/>
      <c r="O121" s="363"/>
      <c r="P121" s="363"/>
      <c r="Q121" s="65"/>
      <c r="R121" s="65"/>
      <c r="S121" s="65"/>
      <c r="T121" s="363"/>
      <c r="U121" s="363"/>
      <c r="V121" s="363"/>
      <c r="W121" s="363"/>
      <c r="X121" s="363"/>
      <c r="Y121" s="363"/>
      <c r="Z121" s="363"/>
      <c r="AA121" s="363"/>
      <c r="AB121" s="2625">
        <f>(AB120+AB122)/2</f>
        <v>22.5</v>
      </c>
      <c r="AC121" s="2625">
        <f>(AC120+AC122)/2</f>
        <v>0.8145</v>
      </c>
      <c r="AD121" s="425"/>
      <c r="AE121" s="423"/>
      <c r="AF121" s="423"/>
      <c r="AG121" s="423"/>
      <c r="AH121" s="423"/>
      <c r="AI121" s="423"/>
      <c r="AJ121" s="423"/>
      <c r="AK121" s="358"/>
      <c r="AL121" s="423"/>
      <c r="AM121" s="423"/>
      <c r="AN121" s="423"/>
      <c r="AO121" s="423"/>
      <c r="AP121" s="423"/>
      <c r="AQ121" s="423"/>
      <c r="AR121" s="423"/>
      <c r="AS121" s="423"/>
      <c r="AT121" s="423"/>
      <c r="AU121" s="423"/>
      <c r="AV121" s="423"/>
      <c r="AW121" s="423"/>
      <c r="AX121" s="423"/>
      <c r="AY121" s="423"/>
      <c r="AZ121" s="423"/>
      <c r="BA121" s="423"/>
      <c r="BB121" s="425"/>
      <c r="BC121" s="363"/>
      <c r="BD121" s="363"/>
      <c r="BE121" s="363"/>
      <c r="BF121" s="363"/>
      <c r="BG121" s="363"/>
      <c r="BH121" s="363"/>
      <c r="BI121" s="363"/>
      <c r="BJ121" s="363"/>
      <c r="BK121" s="363"/>
      <c r="BL121" s="363"/>
      <c r="BM121" s="363"/>
      <c r="BN121" s="3493"/>
    </row>
    <row r="122" spans="1:66" s="342" customFormat="1" ht="14.25" customHeight="1">
      <c r="A122" s="1765"/>
      <c r="B122" s="1902" t="s">
        <v>244</v>
      </c>
      <c r="C122" s="1903">
        <v>310</v>
      </c>
      <c r="D122" s="1904">
        <v>5.5</v>
      </c>
      <c r="E122" s="1766"/>
      <c r="F122" s="1767"/>
      <c r="G122" s="1768"/>
      <c r="H122" s="1764"/>
      <c r="I122" s="363"/>
      <c r="J122" s="4615" t="s">
        <v>243</v>
      </c>
      <c r="K122" s="4615"/>
      <c r="L122" s="4615"/>
      <c r="M122" s="4615"/>
      <c r="N122" s="4615"/>
      <c r="O122" s="4615"/>
      <c r="P122" s="363"/>
      <c r="Q122" s="363"/>
      <c r="R122" s="363"/>
      <c r="S122" s="363"/>
      <c r="T122" s="363"/>
      <c r="U122" s="363"/>
      <c r="V122" s="363"/>
      <c r="W122" s="363"/>
      <c r="X122" s="363"/>
      <c r="Y122" s="363"/>
      <c r="Z122" s="363"/>
      <c r="AA122" s="363"/>
      <c r="AB122" s="2625">
        <v>23</v>
      </c>
      <c r="AC122" s="2811">
        <v>0.80200000000000005</v>
      </c>
      <c r="AD122" s="425"/>
      <c r="AE122" s="423"/>
      <c r="AF122" s="423"/>
      <c r="AG122" s="423"/>
      <c r="AH122" s="423"/>
      <c r="AI122" s="423"/>
      <c r="AJ122" s="423"/>
      <c r="AK122" s="358"/>
      <c r="AL122" s="423"/>
      <c r="AM122" s="423"/>
      <c r="AN122" s="423"/>
      <c r="AO122" s="423"/>
      <c r="AP122" s="423"/>
      <c r="AQ122" s="423"/>
      <c r="AR122" s="423"/>
      <c r="AS122" s="423"/>
      <c r="AT122" s="423"/>
      <c r="AU122" s="423"/>
      <c r="AV122" s="423"/>
      <c r="AW122" s="423"/>
      <c r="AX122" s="423"/>
      <c r="AY122" s="423"/>
      <c r="AZ122" s="423"/>
      <c r="BA122" s="423"/>
      <c r="BB122" s="425"/>
      <c r="BC122" s="363"/>
      <c r="BD122" s="363"/>
      <c r="BE122" s="363"/>
      <c r="BF122" s="363"/>
      <c r="BG122" s="363"/>
      <c r="BH122" s="363"/>
      <c r="BI122" s="363"/>
      <c r="BJ122" s="363"/>
      <c r="BK122" s="363"/>
      <c r="BL122" s="363"/>
      <c r="BM122" s="363"/>
      <c r="BN122" s="3493"/>
    </row>
    <row r="123" spans="1:66" s="342" customFormat="1" ht="14.25" customHeight="1">
      <c r="A123" s="1769"/>
      <c r="B123" s="1905" t="s">
        <v>245</v>
      </c>
      <c r="C123" s="1906">
        <v>310</v>
      </c>
      <c r="D123" s="1907">
        <v>10</v>
      </c>
      <c r="E123" s="1770"/>
      <c r="F123" s="1771"/>
      <c r="G123" s="1772"/>
      <c r="H123" s="1764"/>
      <c r="I123" s="363"/>
      <c r="J123" s="363"/>
      <c r="K123" s="363"/>
      <c r="L123" s="363"/>
      <c r="M123" s="363"/>
      <c r="N123" s="363"/>
      <c r="O123" s="363"/>
      <c r="P123" s="363"/>
      <c r="Q123" s="363"/>
      <c r="R123" s="363"/>
      <c r="S123" s="363"/>
      <c r="T123" s="363"/>
      <c r="U123" s="363"/>
      <c r="V123" s="363"/>
      <c r="W123" s="363"/>
      <c r="X123" s="363"/>
      <c r="Y123" s="363"/>
      <c r="Z123" s="363"/>
      <c r="AA123" s="363"/>
      <c r="AB123" s="2625">
        <f>(AB122+AB124)/2</f>
        <v>23.5</v>
      </c>
      <c r="AC123" s="2625">
        <f>(AC122+AC124)/2</f>
        <v>0.79150000000000009</v>
      </c>
      <c r="AD123" s="425"/>
      <c r="AE123" s="423"/>
      <c r="AF123" s="423"/>
      <c r="AG123" s="423"/>
      <c r="AH123" s="423"/>
      <c r="AI123" s="423"/>
      <c r="AJ123" s="423"/>
      <c r="AK123" s="358"/>
      <c r="AL123" s="423"/>
      <c r="AM123" s="423"/>
      <c r="AN123" s="423"/>
      <c r="AO123" s="423"/>
      <c r="AP123" s="423"/>
      <c r="AQ123" s="423"/>
      <c r="AR123" s="423"/>
      <c r="AS123" s="423"/>
      <c r="AT123" s="423"/>
      <c r="AU123" s="423"/>
      <c r="AV123" s="423"/>
      <c r="AW123" s="423"/>
      <c r="AX123" s="423"/>
      <c r="AY123" s="423"/>
      <c r="AZ123" s="423"/>
      <c r="BA123" s="423"/>
      <c r="BB123" s="425"/>
      <c r="BC123" s="363"/>
      <c r="BD123" s="363"/>
      <c r="BE123" s="363"/>
      <c r="BF123" s="363"/>
      <c r="BG123" s="363"/>
      <c r="BH123" s="363"/>
      <c r="BI123" s="363"/>
      <c r="BJ123" s="363"/>
      <c r="BK123" s="363"/>
      <c r="BL123" s="363"/>
      <c r="BM123" s="363"/>
      <c r="BN123" s="3493"/>
    </row>
    <row r="124" spans="1:66" s="342" customFormat="1" ht="14.25" customHeight="1">
      <c r="A124" s="1769"/>
      <c r="B124" s="1905" t="s">
        <v>246</v>
      </c>
      <c r="C124" s="1907">
        <v>310</v>
      </c>
      <c r="D124" s="1907">
        <v>18</v>
      </c>
      <c r="E124" s="1773"/>
      <c r="F124" s="1771"/>
      <c r="G124" s="1772"/>
      <c r="H124" s="1764"/>
      <c r="I124" s="363"/>
      <c r="J124" s="363"/>
      <c r="K124" s="363"/>
      <c r="L124" s="363"/>
      <c r="M124" s="363"/>
      <c r="N124" s="363"/>
      <c r="O124" s="363"/>
      <c r="P124" s="363"/>
      <c r="Q124" s="363"/>
      <c r="R124" s="363"/>
      <c r="S124" s="363"/>
      <c r="T124" s="363"/>
      <c r="U124" s="363"/>
      <c r="V124" s="363"/>
      <c r="W124" s="363"/>
      <c r="X124" s="363"/>
      <c r="Y124" s="363"/>
      <c r="Z124" s="363"/>
      <c r="AA124" s="363"/>
      <c r="AB124" s="2625">
        <v>24</v>
      </c>
      <c r="AC124" s="2811">
        <v>0.78100000000000003</v>
      </c>
      <c r="AD124" s="425"/>
      <c r="AE124" s="423"/>
      <c r="AF124" s="423"/>
      <c r="AG124" s="423"/>
      <c r="AH124" s="423"/>
      <c r="AI124" s="423"/>
      <c r="AJ124" s="423"/>
      <c r="AK124" s="358"/>
      <c r="AL124" s="423"/>
      <c r="AM124" s="423"/>
      <c r="AN124" s="423"/>
      <c r="AO124" s="423"/>
      <c r="AP124" s="423"/>
      <c r="AQ124" s="423"/>
      <c r="AR124" s="423"/>
      <c r="AS124" s="423"/>
      <c r="AT124" s="423"/>
      <c r="AU124" s="423"/>
      <c r="AV124" s="423"/>
      <c r="AW124" s="423"/>
      <c r="AX124" s="423"/>
      <c r="AY124" s="423"/>
      <c r="AZ124" s="423"/>
      <c r="BA124" s="423"/>
      <c r="BB124" s="425"/>
      <c r="BC124" s="363"/>
      <c r="BD124" s="363"/>
      <c r="BE124" s="363"/>
      <c r="BF124" s="363"/>
      <c r="BG124" s="363"/>
      <c r="BH124" s="363"/>
      <c r="BI124" s="363"/>
      <c r="BJ124" s="363"/>
      <c r="BK124" s="363"/>
      <c r="BL124" s="363"/>
      <c r="BM124" s="363"/>
      <c r="BN124" s="3493"/>
    </row>
    <row r="125" spans="1:66" s="342" customFormat="1" ht="14.25" customHeight="1">
      <c r="A125" s="1769"/>
      <c r="B125" s="1905" t="s">
        <v>247</v>
      </c>
      <c r="C125" s="1906">
        <v>310</v>
      </c>
      <c r="D125" s="1907">
        <v>55</v>
      </c>
      <c r="E125" s="1770"/>
      <c r="F125" s="1771"/>
      <c r="G125" s="1771"/>
      <c r="H125" s="1774"/>
      <c r="I125" s="363"/>
      <c r="J125" s="363"/>
      <c r="K125" s="363"/>
      <c r="L125" s="363"/>
      <c r="M125" s="363"/>
      <c r="N125" s="363"/>
      <c r="O125" s="363"/>
      <c r="P125" s="363"/>
      <c r="Q125" s="363"/>
      <c r="R125" s="363"/>
      <c r="S125" s="363"/>
      <c r="T125" s="363"/>
      <c r="U125" s="363"/>
      <c r="V125" s="363"/>
      <c r="W125" s="363"/>
      <c r="X125" s="363"/>
      <c r="Y125" s="363"/>
      <c r="Z125" s="363"/>
      <c r="AA125" s="363"/>
      <c r="AB125" s="2625">
        <f>(AB124+AB126)/2</f>
        <v>24.5</v>
      </c>
      <c r="AC125" s="2625">
        <f>(AC124+AC126)/2</f>
        <v>0.77</v>
      </c>
      <c r="AD125" s="425"/>
      <c r="AE125" s="423"/>
      <c r="AF125" s="423"/>
      <c r="AG125" s="423"/>
      <c r="AH125" s="423"/>
      <c r="AI125" s="423"/>
      <c r="AJ125" s="423"/>
      <c r="AK125" s="358"/>
      <c r="AL125" s="423"/>
      <c r="AM125" s="423"/>
      <c r="AN125" s="423"/>
      <c r="AO125" s="423"/>
      <c r="AP125" s="423"/>
      <c r="AQ125" s="423"/>
      <c r="AR125" s="423"/>
      <c r="AS125" s="423"/>
      <c r="AT125" s="423"/>
      <c r="AU125" s="423"/>
      <c r="AV125" s="423"/>
      <c r="AW125" s="423"/>
      <c r="AX125" s="423"/>
      <c r="AY125" s="423"/>
      <c r="AZ125" s="423"/>
      <c r="BA125" s="423"/>
      <c r="BB125" s="425"/>
      <c r="BC125" s="363"/>
      <c r="BD125" s="363"/>
      <c r="BE125" s="363"/>
      <c r="BF125" s="363"/>
      <c r="BG125" s="363"/>
      <c r="BH125" s="363"/>
      <c r="BI125" s="363"/>
      <c r="BJ125" s="363"/>
      <c r="BK125" s="363"/>
      <c r="BL125" s="363"/>
      <c r="BM125" s="363"/>
      <c r="BN125" s="3493"/>
    </row>
    <row r="126" spans="1:66" s="342" customFormat="1" ht="14.25" customHeight="1">
      <c r="A126" s="1769"/>
      <c r="B126" s="1905" t="s">
        <v>248</v>
      </c>
      <c r="C126" s="1906">
        <v>310</v>
      </c>
      <c r="D126" s="1908">
        <v>95</v>
      </c>
      <c r="E126" s="1770"/>
      <c r="F126" s="1771"/>
      <c r="G126" s="1771"/>
      <c r="H126" s="1774"/>
      <c r="I126" s="363"/>
      <c r="J126" s="363"/>
      <c r="K126" s="363"/>
      <c r="L126" s="363"/>
      <c r="M126" s="363"/>
      <c r="N126" s="363"/>
      <c r="O126" s="363"/>
      <c r="P126" s="363"/>
      <c r="Q126" s="363"/>
      <c r="R126" s="363"/>
      <c r="S126" s="363"/>
      <c r="T126" s="363"/>
      <c r="U126" s="363"/>
      <c r="V126" s="363"/>
      <c r="W126" s="363"/>
      <c r="X126" s="363"/>
      <c r="Y126" s="363"/>
      <c r="Z126" s="363"/>
      <c r="AA126" s="363"/>
      <c r="AB126" s="2625">
        <v>25</v>
      </c>
      <c r="AC126" s="2811">
        <v>0.75900000000000001</v>
      </c>
      <c r="AD126" s="425"/>
      <c r="AE126" s="423"/>
      <c r="AF126" s="423"/>
      <c r="AG126" s="423"/>
      <c r="AH126" s="423"/>
      <c r="AI126" s="423"/>
      <c r="AJ126" s="423"/>
      <c r="AK126" s="358"/>
      <c r="AL126" s="423"/>
      <c r="AM126" s="423"/>
      <c r="AN126" s="423"/>
      <c r="AO126" s="423"/>
      <c r="AP126" s="423"/>
      <c r="AQ126" s="423"/>
      <c r="AR126" s="423"/>
      <c r="AS126" s="423"/>
      <c r="AT126" s="423"/>
      <c r="AU126" s="423"/>
      <c r="AV126" s="423"/>
      <c r="AW126" s="423"/>
      <c r="AX126" s="423"/>
      <c r="AY126" s="423"/>
      <c r="AZ126" s="423"/>
      <c r="BA126" s="423"/>
      <c r="BB126" s="425"/>
      <c r="BC126" s="363"/>
      <c r="BD126" s="363"/>
      <c r="BE126" s="363"/>
      <c r="BF126" s="363"/>
      <c r="BG126" s="363"/>
      <c r="BH126" s="363"/>
      <c r="BI126" s="363"/>
      <c r="BJ126" s="363"/>
      <c r="BK126" s="363"/>
      <c r="BL126" s="363"/>
      <c r="BM126" s="363"/>
      <c r="BN126" s="3493"/>
    </row>
    <row r="127" spans="1:66" s="342" customFormat="1" ht="14.25" customHeight="1">
      <c r="A127" s="1769"/>
      <c r="B127" s="1909" t="s">
        <v>249</v>
      </c>
      <c r="C127" s="1906">
        <v>310</v>
      </c>
      <c r="D127" s="1908">
        <v>9</v>
      </c>
      <c r="E127" s="1770"/>
      <c r="F127" s="1771"/>
      <c r="G127" s="1771"/>
      <c r="H127" s="1774"/>
      <c r="I127" s="363"/>
      <c r="J127" s="363"/>
      <c r="K127" s="363"/>
      <c r="L127" s="363"/>
      <c r="M127" s="363"/>
      <c r="N127" s="363"/>
      <c r="O127" s="363"/>
      <c r="P127" s="363"/>
      <c r="Q127" s="363"/>
      <c r="R127" s="363"/>
      <c r="S127" s="363"/>
      <c r="T127" s="363"/>
      <c r="U127" s="363"/>
      <c r="V127" s="363"/>
      <c r="W127" s="363"/>
      <c r="X127" s="363"/>
      <c r="Y127" s="363"/>
      <c r="Z127" s="363"/>
      <c r="AA127" s="363"/>
      <c r="AB127" s="2625">
        <f>(AB126+AB128)/2</f>
        <v>25.5</v>
      </c>
      <c r="AC127" s="2625">
        <f>(AC126+AC128)/2</f>
        <v>0.74849999999999994</v>
      </c>
      <c r="AD127" s="425"/>
      <c r="AE127" s="423"/>
      <c r="AF127" s="423"/>
      <c r="AG127" s="423"/>
      <c r="AH127" s="423"/>
      <c r="AI127" s="423"/>
      <c r="AJ127" s="423"/>
      <c r="AK127" s="358"/>
      <c r="AL127" s="423"/>
      <c r="AM127" s="423"/>
      <c r="AN127" s="423"/>
      <c r="AO127" s="423"/>
      <c r="AP127" s="423"/>
      <c r="AQ127" s="423"/>
      <c r="AR127" s="423"/>
      <c r="AS127" s="423"/>
      <c r="AT127" s="423"/>
      <c r="AU127" s="423"/>
      <c r="AV127" s="423"/>
      <c r="AW127" s="423"/>
      <c r="AX127" s="423"/>
      <c r="AY127" s="423"/>
      <c r="AZ127" s="423"/>
      <c r="BA127" s="423"/>
      <c r="BB127" s="425"/>
      <c r="BC127" s="363"/>
      <c r="BD127" s="363"/>
      <c r="BE127" s="363"/>
      <c r="BF127" s="363"/>
      <c r="BG127" s="363"/>
      <c r="BH127" s="363"/>
      <c r="BI127" s="363"/>
      <c r="BJ127" s="363"/>
      <c r="BK127" s="363"/>
      <c r="BL127" s="363"/>
      <c r="BM127" s="363"/>
      <c r="BN127" s="3493"/>
    </row>
    <row r="128" spans="1:66" s="342" customFormat="1" ht="14.25" customHeight="1">
      <c r="A128" s="1769"/>
      <c r="B128" s="1909" t="s">
        <v>250</v>
      </c>
      <c r="C128" s="1907"/>
      <c r="D128" s="1907"/>
      <c r="E128" s="1770"/>
      <c r="F128" s="1771"/>
      <c r="G128" s="1771"/>
      <c r="H128" s="1774"/>
      <c r="I128" s="363"/>
      <c r="J128" s="363"/>
      <c r="K128" s="363"/>
      <c r="L128" s="363"/>
      <c r="M128" s="363"/>
      <c r="N128" s="363"/>
      <c r="O128" s="363"/>
      <c r="P128" s="363"/>
      <c r="Q128" s="363"/>
      <c r="R128" s="363"/>
      <c r="S128" s="363"/>
      <c r="T128" s="363"/>
      <c r="U128" s="363"/>
      <c r="V128" s="363"/>
      <c r="W128" s="363"/>
      <c r="X128" s="363"/>
      <c r="Y128" s="363"/>
      <c r="Z128" s="363"/>
      <c r="AA128" s="363"/>
      <c r="AB128" s="2625">
        <v>26</v>
      </c>
      <c r="AC128" s="2811">
        <v>0.73799999999999999</v>
      </c>
      <c r="AD128" s="439"/>
      <c r="AE128" s="425"/>
      <c r="AF128" s="425"/>
      <c r="AG128" s="425"/>
      <c r="AH128" s="425"/>
      <c r="AI128" s="358"/>
      <c r="AJ128" s="358"/>
      <c r="AK128" s="358"/>
      <c r="AL128" s="358"/>
      <c r="AM128" s="358"/>
      <c r="AN128" s="358"/>
      <c r="AO128" s="358"/>
      <c r="AP128" s="358"/>
      <c r="AQ128" s="358"/>
      <c r="AR128" s="358"/>
      <c r="AS128" s="358"/>
      <c r="AT128" s="358"/>
      <c r="AU128" s="358"/>
      <c r="AV128" s="358"/>
      <c r="AW128" s="358"/>
      <c r="AX128" s="358"/>
      <c r="AY128" s="358"/>
      <c r="AZ128" s="358"/>
      <c r="BA128" s="358"/>
      <c r="BB128" s="358"/>
      <c r="BC128" s="363"/>
      <c r="BD128" s="363"/>
      <c r="BE128" s="363"/>
      <c r="BF128" s="363"/>
      <c r="BG128" s="363"/>
      <c r="BH128" s="363"/>
      <c r="BI128" s="363"/>
      <c r="BJ128" s="363"/>
      <c r="BK128" s="363"/>
      <c r="BL128" s="363"/>
      <c r="BM128" s="363"/>
      <c r="BN128" s="3493"/>
    </row>
    <row r="129" spans="1:66" s="342" customFormat="1" ht="14.25" customHeight="1">
      <c r="A129" s="1769"/>
      <c r="B129" s="1775"/>
      <c r="C129" s="67" t="s">
        <v>41</v>
      </c>
      <c r="D129" s="67" t="s">
        <v>43</v>
      </c>
      <c r="E129" s="75"/>
      <c r="F129" s="1771"/>
      <c r="G129" s="1771"/>
      <c r="H129" s="1774"/>
      <c r="I129" s="363"/>
      <c r="J129" s="363"/>
      <c r="K129" s="363"/>
      <c r="L129" s="363"/>
      <c r="M129" s="363"/>
      <c r="N129" s="363"/>
      <c r="O129" s="363"/>
      <c r="P129" s="363"/>
      <c r="Q129" s="363"/>
      <c r="R129" s="363"/>
      <c r="S129" s="363"/>
      <c r="T129" s="363"/>
      <c r="U129" s="363"/>
      <c r="V129" s="363"/>
      <c r="W129" s="363"/>
      <c r="X129" s="363"/>
      <c r="Y129" s="363"/>
      <c r="Z129" s="363"/>
      <c r="AA129" s="363"/>
      <c r="AB129" s="2625">
        <v>27</v>
      </c>
      <c r="AC129" s="2811">
        <v>0.71799999999999997</v>
      </c>
      <c r="AD129" s="425"/>
      <c r="AE129" s="425"/>
      <c r="AF129" s="425"/>
      <c r="AG129" s="425"/>
      <c r="AH129" s="425"/>
      <c r="AI129" s="358"/>
      <c r="AJ129" s="358"/>
      <c r="AK129" s="358"/>
      <c r="AL129" s="358"/>
      <c r="AM129" s="358"/>
      <c r="AN129" s="358"/>
      <c r="AO129" s="358"/>
      <c r="AP129" s="358"/>
      <c r="AQ129" s="358"/>
      <c r="AR129" s="358"/>
      <c r="AS129" s="358"/>
      <c r="AT129" s="358"/>
      <c r="AU129" s="358"/>
      <c r="AV129" s="358"/>
      <c r="AW129" s="358"/>
      <c r="AX129" s="358"/>
      <c r="AY129" s="358"/>
      <c r="AZ129" s="358"/>
      <c r="BA129" s="358"/>
      <c r="BB129" s="358"/>
      <c r="BC129" s="363"/>
      <c r="BD129" s="363"/>
      <c r="BE129" s="363"/>
      <c r="BF129" s="363"/>
      <c r="BG129" s="363"/>
      <c r="BH129" s="363"/>
      <c r="BI129" s="363"/>
      <c r="BJ129" s="363"/>
      <c r="BK129" s="363"/>
      <c r="BL129" s="363"/>
      <c r="BM129" s="363"/>
      <c r="BN129" s="3493"/>
    </row>
    <row r="130" spans="1:66" s="342" customFormat="1" ht="14.25" customHeight="1">
      <c r="A130" s="1769"/>
      <c r="B130" s="1775" t="s">
        <v>251</v>
      </c>
      <c r="C130" s="98" t="s">
        <v>242</v>
      </c>
      <c r="D130" s="67" t="s">
        <v>50</v>
      </c>
      <c r="E130" s="76"/>
      <c r="F130" s="1771"/>
      <c r="G130" s="1771"/>
      <c r="H130" s="1774"/>
      <c r="I130" s="363"/>
      <c r="J130" s="363"/>
      <c r="K130" s="363"/>
      <c r="L130" s="363"/>
      <c r="M130" s="363"/>
      <c r="N130" s="363"/>
      <c r="O130" s="363"/>
      <c r="P130" s="363"/>
      <c r="Q130" s="363"/>
      <c r="R130" s="363"/>
      <c r="S130" s="363"/>
      <c r="T130" s="363"/>
      <c r="U130" s="363"/>
      <c r="V130" s="363"/>
      <c r="W130" s="363"/>
      <c r="X130" s="363"/>
      <c r="Y130" s="363"/>
      <c r="Z130" s="363"/>
      <c r="AA130" s="363"/>
      <c r="AB130" s="2625">
        <v>28</v>
      </c>
      <c r="AC130" s="2811">
        <v>0.69899999999999995</v>
      </c>
      <c r="AD130" s="425"/>
      <c r="AE130" s="425"/>
      <c r="AF130" s="425"/>
      <c r="AG130" s="425"/>
      <c r="AH130" s="425"/>
      <c r="AI130" s="358"/>
      <c r="AJ130" s="358"/>
      <c r="AK130" s="358"/>
      <c r="AL130" s="358"/>
      <c r="AM130" s="358"/>
      <c r="AN130" s="358"/>
      <c r="AO130" s="358"/>
      <c r="AP130" s="358"/>
      <c r="AQ130" s="358"/>
      <c r="AR130" s="358"/>
      <c r="AS130" s="358"/>
      <c r="AT130" s="358"/>
      <c r="AU130" s="358"/>
      <c r="AV130" s="358"/>
      <c r="AW130" s="358"/>
      <c r="AX130" s="358"/>
      <c r="AY130" s="358"/>
      <c r="AZ130" s="358"/>
      <c r="BA130" s="358"/>
      <c r="BB130" s="358"/>
      <c r="BC130" s="363"/>
      <c r="BD130" s="363"/>
      <c r="BE130" s="363"/>
      <c r="BF130" s="363"/>
      <c r="BG130" s="363"/>
      <c r="BH130" s="363"/>
      <c r="BI130" s="363"/>
      <c r="BJ130" s="363"/>
      <c r="BK130" s="363"/>
      <c r="BL130" s="363"/>
      <c r="BM130" s="363"/>
      <c r="BN130" s="3493"/>
    </row>
    <row r="131" spans="1:66" s="342" customFormat="1" ht="14.25" customHeight="1">
      <c r="A131" s="1769"/>
      <c r="B131" s="1910" t="s">
        <v>244</v>
      </c>
      <c r="C131" s="1906">
        <v>365</v>
      </c>
      <c r="D131" s="1907">
        <v>5.5</v>
      </c>
      <c r="E131" s="1770"/>
      <c r="F131" s="1771"/>
      <c r="G131" s="1771"/>
      <c r="H131" s="1774"/>
      <c r="I131" s="363"/>
      <c r="J131" s="363"/>
      <c r="K131" s="363"/>
      <c r="L131" s="363"/>
      <c r="M131" s="363"/>
      <c r="N131" s="363"/>
      <c r="O131" s="363"/>
      <c r="P131" s="363"/>
      <c r="Q131" s="363"/>
      <c r="R131" s="363"/>
      <c r="S131" s="363"/>
      <c r="T131" s="363"/>
      <c r="U131" s="363"/>
      <c r="V131" s="363"/>
      <c r="W131" s="363"/>
      <c r="X131" s="363"/>
      <c r="Y131" s="363"/>
      <c r="Z131" s="363"/>
      <c r="AA131" s="363"/>
      <c r="AB131" s="2625">
        <v>29</v>
      </c>
      <c r="AC131" s="2810">
        <v>0.68200000000000005</v>
      </c>
      <c r="AD131" s="425"/>
      <c r="AE131" s="425"/>
      <c r="AF131" s="425"/>
      <c r="AG131" s="425"/>
      <c r="AH131" s="425"/>
      <c r="AI131" s="358"/>
      <c r="AJ131" s="358"/>
      <c r="AK131" s="358"/>
      <c r="AL131" s="358"/>
      <c r="AM131" s="358"/>
      <c r="AN131" s="358"/>
      <c r="AO131" s="358"/>
      <c r="AP131" s="358"/>
      <c r="AQ131" s="358"/>
      <c r="AR131" s="358"/>
      <c r="AS131" s="358"/>
      <c r="AT131" s="358"/>
      <c r="AU131" s="358"/>
      <c r="AV131" s="358"/>
      <c r="AW131" s="358"/>
      <c r="AX131" s="358"/>
      <c r="AY131" s="358"/>
      <c r="AZ131" s="358"/>
      <c r="BA131" s="358"/>
      <c r="BB131" s="358"/>
      <c r="BC131" s="363"/>
      <c r="BD131" s="363"/>
      <c r="BE131" s="363"/>
      <c r="BF131" s="363"/>
      <c r="BG131" s="363"/>
      <c r="BH131" s="363"/>
      <c r="BI131" s="363"/>
      <c r="BJ131" s="363"/>
      <c r="BK131" s="363"/>
      <c r="BL131" s="363"/>
      <c r="BM131" s="363"/>
      <c r="BN131" s="3493"/>
    </row>
    <row r="132" spans="1:66" s="342" customFormat="1" ht="14.25" customHeight="1">
      <c r="A132" s="1769"/>
      <c r="B132" s="1910" t="s">
        <v>245</v>
      </c>
      <c r="C132" s="1906">
        <v>365</v>
      </c>
      <c r="D132" s="1907">
        <v>10</v>
      </c>
      <c r="E132" s="1770"/>
      <c r="F132" s="1771"/>
      <c r="G132" s="1771"/>
      <c r="H132" s="1774"/>
      <c r="I132" s="363"/>
      <c r="J132" s="363"/>
      <c r="K132" s="363"/>
      <c r="L132" s="363"/>
      <c r="M132" s="363"/>
      <c r="N132" s="363"/>
      <c r="O132" s="363"/>
      <c r="P132" s="363"/>
      <c r="Q132" s="363"/>
      <c r="R132" s="363"/>
      <c r="S132" s="363"/>
      <c r="T132" s="363"/>
      <c r="U132" s="363"/>
      <c r="V132" s="363"/>
      <c r="W132" s="363"/>
      <c r="X132" s="363"/>
      <c r="Y132" s="363"/>
      <c r="Z132" s="363"/>
      <c r="AA132" s="363"/>
      <c r="AB132" s="2812">
        <v>30</v>
      </c>
      <c r="AC132" s="2813">
        <v>0.66500000000000004</v>
      </c>
      <c r="AD132" s="425"/>
      <c r="AE132" s="425"/>
      <c r="AF132" s="425"/>
      <c r="AG132" s="425"/>
      <c r="AH132" s="425"/>
      <c r="AI132" s="358"/>
      <c r="AJ132" s="358"/>
      <c r="AK132" s="358"/>
      <c r="AL132" s="358"/>
      <c r="AM132" s="358"/>
      <c r="AN132" s="358"/>
      <c r="AO132" s="358"/>
      <c r="AP132" s="358"/>
      <c r="AQ132" s="358"/>
      <c r="AR132" s="358"/>
      <c r="AS132" s="358"/>
      <c r="AT132" s="358"/>
      <c r="AU132" s="358"/>
      <c r="AV132" s="358"/>
      <c r="AW132" s="358"/>
      <c r="AX132" s="358"/>
      <c r="AY132" s="358"/>
      <c r="AZ132" s="358"/>
      <c r="BA132" s="358"/>
      <c r="BB132" s="358"/>
      <c r="BC132" s="363"/>
      <c r="BD132" s="363"/>
      <c r="BE132" s="363"/>
      <c r="BF132" s="363"/>
      <c r="BG132" s="363"/>
      <c r="BH132" s="363"/>
      <c r="BI132" s="363"/>
      <c r="BJ132" s="363"/>
      <c r="BK132" s="363"/>
      <c r="BL132" s="363"/>
      <c r="BM132" s="363"/>
      <c r="BN132" s="3493"/>
    </row>
    <row r="133" spans="1:66" s="342" customFormat="1" ht="14.25" customHeight="1">
      <c r="A133" s="1769"/>
      <c r="B133" s="1910" t="s">
        <v>252</v>
      </c>
      <c r="C133" s="1906">
        <v>365</v>
      </c>
      <c r="D133" s="1907">
        <v>34</v>
      </c>
      <c r="E133" s="1770"/>
      <c r="F133" s="1771"/>
      <c r="G133" s="1771"/>
      <c r="H133" s="1774"/>
      <c r="I133" s="363"/>
      <c r="J133" s="363"/>
      <c r="K133" s="363"/>
      <c r="L133" s="363"/>
      <c r="M133" s="363"/>
      <c r="N133" s="363"/>
      <c r="O133" s="363"/>
      <c r="P133" s="363"/>
      <c r="Q133" s="363"/>
      <c r="R133" s="363"/>
      <c r="S133" s="363"/>
      <c r="T133" s="363"/>
      <c r="U133" s="363"/>
      <c r="V133" s="363"/>
      <c r="W133" s="363"/>
      <c r="X133" s="363"/>
      <c r="Y133" s="363"/>
      <c r="Z133" s="363"/>
      <c r="AA133" s="363"/>
      <c r="AB133" s="358"/>
      <c r="AC133" s="358"/>
      <c r="AD133" s="425"/>
      <c r="AE133" s="425"/>
      <c r="AF133" s="425"/>
      <c r="AG133" s="425"/>
      <c r="AH133" s="425"/>
      <c r="AI133" s="358"/>
      <c r="AJ133" s="358"/>
      <c r="AK133" s="358"/>
      <c r="AL133" s="358"/>
      <c r="AM133" s="358"/>
      <c r="AN133" s="358"/>
      <c r="AO133" s="358"/>
      <c r="AP133" s="358"/>
      <c r="AQ133" s="358"/>
      <c r="AR133" s="358"/>
      <c r="AS133" s="358"/>
      <c r="AT133" s="358"/>
      <c r="AU133" s="358"/>
      <c r="AV133" s="358"/>
      <c r="AW133" s="358"/>
      <c r="AX133" s="358"/>
      <c r="AY133" s="358"/>
      <c r="AZ133" s="358"/>
      <c r="BA133" s="358"/>
      <c r="BB133" s="358"/>
      <c r="BC133" s="363"/>
      <c r="BD133" s="363"/>
      <c r="BE133" s="363"/>
      <c r="BF133" s="363"/>
      <c r="BG133" s="363"/>
      <c r="BH133" s="363"/>
      <c r="BI133" s="363"/>
      <c r="BJ133" s="363"/>
      <c r="BK133" s="363"/>
      <c r="BL133" s="363"/>
      <c r="BM133" s="363"/>
      <c r="BN133" s="3493"/>
    </row>
    <row r="134" spans="1:66" s="342" customFormat="1" ht="14.25" customHeight="1">
      <c r="A134" s="1769"/>
      <c r="B134" s="1910" t="s">
        <v>247</v>
      </c>
      <c r="C134" s="1906">
        <v>365</v>
      </c>
      <c r="D134" s="1907">
        <v>57</v>
      </c>
      <c r="E134" s="1770"/>
      <c r="F134" s="1771"/>
      <c r="G134" s="1771"/>
      <c r="H134" s="1774"/>
      <c r="I134" s="363"/>
      <c r="J134" s="363"/>
      <c r="K134" s="363"/>
      <c r="L134" s="363"/>
      <c r="M134" s="363"/>
      <c r="N134" s="363"/>
      <c r="O134" s="363"/>
      <c r="P134" s="363"/>
      <c r="Q134" s="363"/>
      <c r="R134" s="363"/>
      <c r="S134" s="363"/>
      <c r="T134" s="363"/>
      <c r="U134" s="363"/>
      <c r="V134" s="363"/>
      <c r="W134" s="363"/>
      <c r="X134" s="363"/>
      <c r="Y134" s="363"/>
      <c r="Z134" s="363"/>
      <c r="AA134" s="363"/>
      <c r="AB134" s="358"/>
      <c r="AC134" s="358"/>
      <c r="AD134" s="425"/>
      <c r="AE134" s="425"/>
      <c r="AF134" s="425"/>
      <c r="AG134" s="425"/>
      <c r="AH134" s="425"/>
      <c r="AI134" s="358"/>
      <c r="AJ134" s="358"/>
      <c r="AK134" s="358"/>
      <c r="AL134" s="358"/>
      <c r="AM134" s="358"/>
      <c r="AN134" s="358"/>
      <c r="AO134" s="358"/>
      <c r="AP134" s="358"/>
      <c r="AQ134" s="358"/>
      <c r="AR134" s="358"/>
      <c r="AS134" s="358"/>
      <c r="AT134" s="358"/>
      <c r="AU134" s="358"/>
      <c r="AV134" s="358"/>
      <c r="AW134" s="358"/>
      <c r="AX134" s="358"/>
      <c r="AY134" s="358"/>
      <c r="AZ134" s="358"/>
      <c r="BA134" s="358"/>
      <c r="BB134" s="358"/>
      <c r="BC134" s="363"/>
      <c r="BD134" s="363"/>
      <c r="BE134" s="363"/>
      <c r="BF134" s="363"/>
      <c r="BG134" s="363"/>
      <c r="BH134" s="363"/>
      <c r="BI134" s="363"/>
      <c r="BJ134" s="363"/>
      <c r="BK134" s="363"/>
      <c r="BL134" s="363"/>
      <c r="BM134" s="363"/>
      <c r="BN134" s="3493"/>
    </row>
    <row r="135" spans="1:66" s="342" customFormat="1" ht="14.25" customHeight="1">
      <c r="A135" s="1769"/>
      <c r="B135" s="1911" t="s">
        <v>249</v>
      </c>
      <c r="C135" s="1906">
        <v>365</v>
      </c>
      <c r="D135" s="1907">
        <v>6</v>
      </c>
      <c r="E135" s="1770"/>
      <c r="F135" s="1771"/>
      <c r="G135" s="1771"/>
      <c r="H135" s="1774"/>
      <c r="I135" s="363"/>
      <c r="J135" s="363"/>
      <c r="K135" s="363"/>
      <c r="L135" s="363"/>
      <c r="M135" s="363"/>
      <c r="N135" s="363"/>
      <c r="O135" s="363"/>
      <c r="P135" s="363"/>
      <c r="Q135" s="363"/>
      <c r="R135" s="363"/>
      <c r="S135" s="363"/>
      <c r="T135" s="363"/>
      <c r="U135" s="363"/>
      <c r="V135" s="363"/>
      <c r="W135" s="363"/>
      <c r="X135" s="363"/>
      <c r="Y135" s="363"/>
      <c r="Z135" s="363"/>
      <c r="AA135" s="363"/>
      <c r="AB135" s="358"/>
      <c r="AC135" s="358"/>
      <c r="AD135" s="425"/>
      <c r="AE135" s="425"/>
      <c r="AF135" s="425"/>
      <c r="AG135" s="425"/>
      <c r="AH135" s="425"/>
      <c r="AI135" s="358"/>
      <c r="AJ135" s="358"/>
      <c r="AK135" s="358"/>
      <c r="AL135" s="358"/>
      <c r="AM135" s="358"/>
      <c r="AN135" s="358"/>
      <c r="AO135" s="358"/>
      <c r="AP135" s="358"/>
      <c r="AQ135" s="358"/>
      <c r="AR135" s="358"/>
      <c r="AS135" s="358"/>
      <c r="AT135" s="358"/>
      <c r="AU135" s="358"/>
      <c r="AV135" s="358"/>
      <c r="AW135" s="358"/>
      <c r="AX135" s="358"/>
      <c r="AY135" s="358"/>
      <c r="AZ135" s="358"/>
      <c r="BA135" s="358"/>
      <c r="BB135" s="358"/>
      <c r="BC135" s="363"/>
      <c r="BD135" s="363"/>
      <c r="BE135" s="363"/>
      <c r="BF135" s="363"/>
      <c r="BG135" s="363"/>
      <c r="BH135" s="363"/>
      <c r="BI135" s="363"/>
      <c r="BJ135" s="363"/>
      <c r="BK135" s="363"/>
      <c r="BL135" s="363"/>
      <c r="BM135" s="363"/>
      <c r="BN135" s="3493"/>
    </row>
    <row r="136" spans="1:66" s="342" customFormat="1" ht="14.25" customHeight="1">
      <c r="A136" s="1769"/>
      <c r="B136" s="1911" t="s">
        <v>250</v>
      </c>
      <c r="C136" s="1906"/>
      <c r="D136" s="1907"/>
      <c r="E136" s="1770"/>
      <c r="F136" s="1771"/>
      <c r="G136" s="1771"/>
      <c r="H136" s="1774"/>
      <c r="I136" s="363"/>
      <c r="J136" s="363"/>
      <c r="K136" s="363"/>
      <c r="L136" s="363"/>
      <c r="M136" s="363"/>
      <c r="N136" s="363"/>
      <c r="O136" s="363"/>
      <c r="P136" s="363"/>
      <c r="Q136" s="363"/>
      <c r="R136" s="363"/>
      <c r="S136" s="363"/>
      <c r="T136" s="363"/>
      <c r="U136" s="363"/>
      <c r="V136" s="363"/>
      <c r="W136" s="363"/>
      <c r="X136" s="363"/>
      <c r="Y136" s="363"/>
      <c r="Z136" s="363"/>
      <c r="AA136" s="363"/>
      <c r="AB136" s="358"/>
      <c r="AC136" s="358"/>
      <c r="AD136" s="425"/>
      <c r="AE136" s="425"/>
      <c r="AF136" s="425"/>
      <c r="AG136" s="425"/>
      <c r="AH136" s="425"/>
      <c r="AI136" s="358"/>
      <c r="AJ136" s="358"/>
      <c r="AK136" s="358"/>
      <c r="AL136" s="358"/>
      <c r="AM136" s="358"/>
      <c r="AN136" s="358"/>
      <c r="AO136" s="358"/>
      <c r="AP136" s="358"/>
      <c r="AQ136" s="358"/>
      <c r="AR136" s="358"/>
      <c r="AS136" s="358"/>
      <c r="AT136" s="358"/>
      <c r="AU136" s="358"/>
      <c r="AV136" s="358"/>
      <c r="AW136" s="358"/>
      <c r="AX136" s="358"/>
      <c r="AY136" s="358"/>
      <c r="AZ136" s="358"/>
      <c r="BA136" s="358"/>
      <c r="BB136" s="358"/>
      <c r="BC136" s="363"/>
      <c r="BD136" s="363"/>
      <c r="BE136" s="363"/>
      <c r="BF136" s="363"/>
      <c r="BG136" s="363"/>
      <c r="BH136" s="363"/>
      <c r="BI136" s="363"/>
      <c r="BJ136" s="363"/>
      <c r="BK136" s="363"/>
      <c r="BL136" s="363"/>
      <c r="BM136" s="363"/>
      <c r="BN136" s="3493"/>
    </row>
    <row r="137" spans="1:66" s="342" customFormat="1" ht="14.25" customHeight="1">
      <c r="A137" s="1769"/>
      <c r="B137" s="1775"/>
      <c r="C137" s="67" t="s">
        <v>41</v>
      </c>
      <c r="D137" s="67" t="s">
        <v>43</v>
      </c>
      <c r="E137" s="67" t="s">
        <v>112</v>
      </c>
      <c r="F137" s="1771"/>
      <c r="G137" s="1771"/>
      <c r="H137" s="1774"/>
      <c r="I137" s="363"/>
      <c r="J137" s="363"/>
      <c r="K137" s="363"/>
      <c r="L137" s="363"/>
      <c r="M137" s="363"/>
      <c r="N137" s="363"/>
      <c r="O137" s="363"/>
      <c r="P137" s="363"/>
      <c r="Q137" s="363"/>
      <c r="R137" s="363"/>
      <c r="S137" s="363"/>
      <c r="T137" s="363"/>
      <c r="U137" s="363"/>
      <c r="V137" s="363"/>
      <c r="W137" s="363"/>
      <c r="X137" s="363"/>
      <c r="Y137" s="363"/>
      <c r="Z137" s="363"/>
      <c r="AA137" s="363"/>
      <c r="AB137" s="358"/>
      <c r="AC137" s="358"/>
      <c r="AD137" s="425"/>
      <c r="AE137" s="425"/>
      <c r="AF137" s="425"/>
      <c r="AG137" s="425"/>
      <c r="AH137" s="425"/>
      <c r="AI137" s="358"/>
      <c r="AJ137" s="358"/>
      <c r="AK137" s="358"/>
      <c r="AL137" s="358"/>
      <c r="AM137" s="358"/>
      <c r="AN137" s="358"/>
      <c r="AO137" s="358"/>
      <c r="AP137" s="358"/>
      <c r="AQ137" s="358"/>
      <c r="AR137" s="358"/>
      <c r="AS137" s="358"/>
      <c r="AT137" s="358"/>
      <c r="AU137" s="358"/>
      <c r="AV137" s="358"/>
      <c r="AW137" s="358"/>
      <c r="AX137" s="358"/>
      <c r="AY137" s="358"/>
      <c r="AZ137" s="358"/>
      <c r="BA137" s="358"/>
      <c r="BB137" s="358"/>
      <c r="BC137" s="363"/>
      <c r="BD137" s="363"/>
      <c r="BE137" s="363"/>
      <c r="BF137" s="363"/>
      <c r="BG137" s="363"/>
      <c r="BH137" s="363"/>
      <c r="BI137" s="363"/>
      <c r="BJ137" s="363"/>
      <c r="BK137" s="363"/>
      <c r="BL137" s="363"/>
      <c r="BM137" s="363"/>
      <c r="BN137" s="3493"/>
    </row>
    <row r="138" spans="1:66" s="342" customFormat="1" ht="14.25" customHeight="1">
      <c r="A138" s="1769"/>
      <c r="B138" s="1775" t="s">
        <v>253</v>
      </c>
      <c r="C138" s="98" t="s">
        <v>242</v>
      </c>
      <c r="D138" s="67" t="s">
        <v>50</v>
      </c>
      <c r="E138" s="67" t="s">
        <v>116</v>
      </c>
      <c r="F138" s="1771"/>
      <c r="G138" s="1771"/>
      <c r="H138" s="1774"/>
      <c r="I138" s="363"/>
      <c r="J138" s="363"/>
      <c r="K138" s="363"/>
      <c r="L138" s="363"/>
      <c r="M138" s="363"/>
      <c r="N138" s="363"/>
      <c r="O138" s="363"/>
      <c r="P138" s="363"/>
      <c r="Q138" s="363"/>
      <c r="R138" s="363"/>
      <c r="S138" s="363"/>
      <c r="T138" s="363"/>
      <c r="U138" s="363"/>
      <c r="V138" s="363"/>
      <c r="W138" s="363"/>
      <c r="X138" s="363"/>
      <c r="Y138" s="363"/>
      <c r="Z138" s="363"/>
      <c r="AA138" s="363"/>
      <c r="AB138" s="358"/>
      <c r="AC138" s="358"/>
      <c r="AD138" s="425"/>
      <c r="AE138" s="425"/>
      <c r="AF138" s="425"/>
      <c r="AG138" s="425"/>
      <c r="AH138" s="425"/>
      <c r="AI138" s="388"/>
      <c r="AJ138" s="413"/>
      <c r="AK138" s="64"/>
      <c r="AL138" s="64"/>
      <c r="AM138" s="64"/>
      <c r="AN138" s="64"/>
      <c r="AO138" s="64"/>
      <c r="AP138" s="64"/>
      <c r="AQ138" s="64"/>
      <c r="AR138" s="64"/>
      <c r="AS138" s="64"/>
      <c r="AT138" s="64"/>
      <c r="AU138" s="64"/>
      <c r="AV138" s="64"/>
      <c r="AW138" s="64"/>
      <c r="AX138" s="413"/>
      <c r="AY138" s="413"/>
      <c r="AZ138" s="413"/>
      <c r="BA138" s="413"/>
      <c r="BB138" s="358"/>
      <c r="BC138" s="363"/>
      <c r="BD138" s="363"/>
      <c r="BE138" s="363"/>
      <c r="BF138" s="363"/>
      <c r="BG138" s="363"/>
      <c r="BH138" s="363"/>
      <c r="BI138" s="363"/>
      <c r="BJ138" s="363"/>
      <c r="BK138" s="363"/>
      <c r="BL138" s="363"/>
      <c r="BM138" s="363"/>
      <c r="BN138" s="3493"/>
    </row>
    <row r="139" spans="1:66" s="358" customFormat="1" ht="14.25" customHeight="1">
      <c r="A139" s="1769"/>
      <c r="B139" s="1913" t="s">
        <v>245</v>
      </c>
      <c r="C139" s="1906">
        <v>310</v>
      </c>
      <c r="D139" s="1907">
        <v>10</v>
      </c>
      <c r="E139" s="1907">
        <v>30</v>
      </c>
      <c r="F139" s="1771"/>
      <c r="G139" s="1771"/>
      <c r="H139" s="1774"/>
      <c r="I139" s="363"/>
      <c r="J139" s="363"/>
      <c r="K139" s="363"/>
      <c r="L139" s="363"/>
      <c r="M139" s="363"/>
      <c r="N139" s="363"/>
      <c r="O139" s="363"/>
      <c r="P139" s="363"/>
      <c r="Q139" s="363"/>
      <c r="R139" s="363"/>
      <c r="S139" s="363"/>
      <c r="T139" s="363"/>
      <c r="U139" s="363"/>
      <c r="V139" s="363"/>
      <c r="W139" s="363"/>
      <c r="X139" s="363"/>
      <c r="Y139" s="363"/>
      <c r="Z139" s="363"/>
      <c r="AA139" s="363"/>
      <c r="AD139" s="425"/>
      <c r="AE139" s="425"/>
      <c r="AF139" s="425"/>
      <c r="AG139" s="425"/>
      <c r="AH139" s="425"/>
      <c r="AI139" s="388"/>
      <c r="AJ139" s="413"/>
      <c r="AK139" s="64"/>
      <c r="AL139" s="64"/>
      <c r="AM139" s="64"/>
      <c r="AN139" s="64"/>
      <c r="AO139" s="64"/>
      <c r="AP139" s="64"/>
      <c r="AQ139" s="64"/>
      <c r="AR139" s="64"/>
      <c r="AS139" s="64"/>
      <c r="AT139" s="64"/>
      <c r="AU139" s="64"/>
      <c r="AV139" s="64"/>
      <c r="AW139" s="64"/>
      <c r="AX139" s="413"/>
      <c r="AY139" s="413"/>
      <c r="AZ139" s="413"/>
      <c r="BA139" s="413"/>
      <c r="BC139" s="363"/>
      <c r="BD139" s="363"/>
      <c r="BE139" s="363"/>
      <c r="BF139" s="363"/>
      <c r="BG139" s="363"/>
      <c r="BH139" s="363"/>
      <c r="BI139" s="363"/>
      <c r="BJ139" s="363"/>
      <c r="BK139" s="363"/>
      <c r="BL139" s="363"/>
      <c r="BM139" s="363"/>
      <c r="BN139" s="3493"/>
    </row>
    <row r="140" spans="1:66" s="342" customFormat="1" ht="14.25" customHeight="1">
      <c r="A140" s="1769"/>
      <c r="B140" s="1913" t="s">
        <v>246</v>
      </c>
      <c r="C140" s="1906">
        <v>310</v>
      </c>
      <c r="D140" s="1907">
        <v>18</v>
      </c>
      <c r="E140" s="1907">
        <v>50</v>
      </c>
      <c r="F140" s="1771"/>
      <c r="G140" s="1771"/>
      <c r="H140" s="1774"/>
      <c r="I140" s="363"/>
      <c r="J140" s="363"/>
      <c r="K140" s="363"/>
      <c r="L140" s="363"/>
      <c r="M140" s="363"/>
      <c r="N140" s="363"/>
      <c r="O140" s="363"/>
      <c r="P140" s="363"/>
      <c r="Q140" s="363"/>
      <c r="R140" s="363"/>
      <c r="S140" s="363"/>
      <c r="T140" s="363"/>
      <c r="U140" s="363"/>
      <c r="V140" s="363"/>
      <c r="W140" s="363"/>
      <c r="X140" s="363"/>
      <c r="Y140" s="363"/>
      <c r="Z140" s="363"/>
      <c r="AA140" s="363"/>
      <c r="AB140" s="358"/>
      <c r="AC140" s="358"/>
      <c r="AD140" s="425"/>
      <c r="AE140" s="425"/>
      <c r="AF140" s="425"/>
      <c r="AG140" s="425"/>
      <c r="AH140" s="425"/>
      <c r="AI140" s="388"/>
      <c r="AJ140" s="413"/>
      <c r="AK140" s="64"/>
      <c r="AL140" s="64"/>
      <c r="AM140" s="64"/>
      <c r="AN140" s="64"/>
      <c r="AO140" s="64"/>
      <c r="AP140" s="64"/>
      <c r="AQ140" s="64"/>
      <c r="AR140" s="64"/>
      <c r="AS140" s="64"/>
      <c r="AT140" s="64"/>
      <c r="AU140" s="64"/>
      <c r="AV140" s="64"/>
      <c r="AW140" s="64"/>
      <c r="AX140" s="413"/>
      <c r="AY140" s="413"/>
      <c r="AZ140" s="413"/>
      <c r="BA140" s="413"/>
      <c r="BB140" s="358"/>
      <c r="BC140" s="363"/>
      <c r="BD140" s="363"/>
      <c r="BE140" s="363"/>
      <c r="BF140" s="363"/>
      <c r="BG140" s="363"/>
      <c r="BH140" s="363"/>
      <c r="BI140" s="363"/>
      <c r="BJ140" s="363"/>
      <c r="BK140" s="363"/>
      <c r="BL140" s="363"/>
      <c r="BM140" s="363"/>
      <c r="BN140" s="3493"/>
    </row>
    <row r="141" spans="1:66" s="342" customFormat="1" ht="14.25" customHeight="1">
      <c r="A141" s="1769"/>
      <c r="B141" s="1913" t="s">
        <v>247</v>
      </c>
      <c r="C141" s="1906">
        <v>310</v>
      </c>
      <c r="D141" s="1907">
        <v>55</v>
      </c>
      <c r="E141" s="1907">
        <v>50</v>
      </c>
      <c r="F141" s="1771"/>
      <c r="G141" s="1771"/>
      <c r="H141" s="1774"/>
      <c r="I141" s="363"/>
      <c r="J141" s="363"/>
      <c r="K141" s="363"/>
      <c r="L141" s="363"/>
      <c r="M141" s="363"/>
      <c r="N141" s="363"/>
      <c r="O141" s="363"/>
      <c r="P141" s="363"/>
      <c r="Q141" s="363"/>
      <c r="R141" s="363"/>
      <c r="S141" s="363"/>
      <c r="T141" s="363"/>
      <c r="U141" s="363"/>
      <c r="V141" s="363"/>
      <c r="W141" s="363"/>
      <c r="X141" s="363"/>
      <c r="Y141" s="363"/>
      <c r="Z141" s="363"/>
      <c r="AA141" s="363"/>
      <c r="AB141" s="425"/>
      <c r="AC141" s="425"/>
      <c r="AD141" s="425"/>
      <c r="AE141" s="425"/>
      <c r="AF141" s="425"/>
      <c r="AG141" s="425"/>
      <c r="AH141" s="425"/>
      <c r="AI141" s="388"/>
      <c r="AJ141" s="413"/>
      <c r="AK141" s="64"/>
      <c r="AL141" s="64"/>
      <c r="AM141" s="64"/>
      <c r="AN141" s="64"/>
      <c r="AO141" s="64"/>
      <c r="AP141" s="64"/>
      <c r="AQ141" s="64"/>
      <c r="AR141" s="64"/>
      <c r="AS141" s="64"/>
      <c r="AT141" s="64"/>
      <c r="AU141" s="64"/>
      <c r="AV141" s="64"/>
      <c r="AW141" s="64"/>
      <c r="AX141" s="413"/>
      <c r="AY141" s="413"/>
      <c r="AZ141" s="413"/>
      <c r="BA141" s="413"/>
      <c r="BB141" s="358"/>
      <c r="BC141" s="363"/>
      <c r="BD141" s="363"/>
      <c r="BE141" s="363"/>
      <c r="BF141" s="363"/>
      <c r="BG141" s="363"/>
      <c r="BH141" s="363"/>
      <c r="BI141" s="363"/>
      <c r="BJ141" s="363"/>
      <c r="BK141" s="363"/>
      <c r="BL141" s="363"/>
      <c r="BM141" s="363"/>
      <c r="BN141" s="3493"/>
    </row>
    <row r="142" spans="1:66" s="342" customFormat="1" ht="14.25" customHeight="1">
      <c r="A142" s="1769"/>
      <c r="B142" s="1914" t="s">
        <v>250</v>
      </c>
      <c r="C142" s="1906"/>
      <c r="D142" s="1907"/>
      <c r="E142" s="1907"/>
      <c r="F142" s="1771"/>
      <c r="G142" s="1771"/>
      <c r="H142" s="1774"/>
      <c r="I142" s="363"/>
      <c r="J142" s="363"/>
      <c r="K142" s="363"/>
      <c r="L142" s="363"/>
      <c r="M142" s="363"/>
      <c r="N142" s="363"/>
      <c r="O142" s="363"/>
      <c r="P142" s="363"/>
      <c r="Q142" s="363"/>
      <c r="R142" s="363"/>
      <c r="S142" s="363"/>
      <c r="T142" s="363"/>
      <c r="U142" s="363"/>
      <c r="V142" s="363"/>
      <c r="W142" s="363"/>
      <c r="X142" s="363"/>
      <c r="Y142" s="363"/>
      <c r="Z142" s="363"/>
      <c r="AA142" s="363"/>
      <c r="AB142" s="425"/>
      <c r="AC142" s="425"/>
      <c r="AD142" s="425"/>
      <c r="AE142" s="425"/>
      <c r="AF142" s="425"/>
      <c r="AG142" s="425"/>
      <c r="AH142" s="425"/>
      <c r="AI142" s="358"/>
      <c r="AJ142" s="358"/>
      <c r="AK142" s="358"/>
      <c r="AL142" s="358"/>
      <c r="AM142" s="358"/>
      <c r="AN142" s="358"/>
      <c r="AO142" s="358"/>
      <c r="AP142" s="358"/>
      <c r="AQ142" s="358"/>
      <c r="AR142" s="358"/>
      <c r="AS142" s="358"/>
      <c r="AT142" s="358"/>
      <c r="AU142" s="358"/>
      <c r="AV142" s="358"/>
      <c r="AW142" s="358"/>
      <c r="AX142" s="358"/>
      <c r="AY142" s="358"/>
      <c r="AZ142" s="358"/>
      <c r="BA142" s="358"/>
      <c r="BB142" s="358"/>
      <c r="BC142" s="363"/>
      <c r="BD142" s="363"/>
      <c r="BE142" s="363"/>
      <c r="BF142" s="363"/>
      <c r="BG142" s="363"/>
      <c r="BH142" s="363"/>
      <c r="BI142" s="363"/>
      <c r="BJ142" s="363"/>
      <c r="BK142" s="363"/>
      <c r="BL142" s="363"/>
      <c r="BM142" s="363"/>
      <c r="BN142" s="3493"/>
    </row>
    <row r="143" spans="1:66" s="342" customFormat="1" ht="14.25" customHeight="1">
      <c r="A143" s="1769"/>
      <c r="B143" s="1775"/>
      <c r="C143" s="67" t="s">
        <v>41</v>
      </c>
      <c r="D143" s="67" t="s">
        <v>43</v>
      </c>
      <c r="E143" s="67" t="s">
        <v>112</v>
      </c>
      <c r="F143" s="1771"/>
      <c r="G143" s="1771"/>
      <c r="H143" s="1774"/>
      <c r="I143" s="363"/>
      <c r="J143" s="363"/>
      <c r="K143" s="363"/>
      <c r="L143" s="363"/>
      <c r="M143" s="363"/>
      <c r="N143" s="363"/>
      <c r="O143" s="363"/>
      <c r="P143" s="363"/>
      <c r="Q143" s="363"/>
      <c r="R143" s="363"/>
      <c r="S143" s="363"/>
      <c r="T143" s="363"/>
      <c r="U143" s="363"/>
      <c r="V143" s="363"/>
      <c r="W143" s="363"/>
      <c r="X143" s="363"/>
      <c r="Y143" s="363"/>
      <c r="Z143" s="363"/>
      <c r="AA143" s="363"/>
      <c r="AB143" s="425"/>
      <c r="AC143" s="425"/>
      <c r="AD143" s="425"/>
      <c r="AE143" s="425"/>
      <c r="AF143" s="425"/>
      <c r="AG143" s="425"/>
      <c r="AH143" s="425"/>
      <c r="AI143" s="358"/>
      <c r="AJ143" s="358"/>
      <c r="AK143" s="358"/>
      <c r="AL143" s="358"/>
      <c r="AM143" s="358"/>
      <c r="AN143" s="358"/>
      <c r="AO143" s="358"/>
      <c r="AP143" s="358"/>
      <c r="AQ143" s="358"/>
      <c r="AR143" s="358"/>
      <c r="AS143" s="358"/>
      <c r="AT143" s="358"/>
      <c r="AU143" s="358"/>
      <c r="AV143" s="358"/>
      <c r="AW143" s="358"/>
      <c r="AX143" s="358"/>
      <c r="AY143" s="358"/>
      <c r="AZ143" s="358"/>
      <c r="BA143" s="358"/>
      <c r="BB143" s="358"/>
      <c r="BC143" s="363"/>
      <c r="BD143" s="363"/>
      <c r="BE143" s="363"/>
      <c r="BF143" s="363"/>
      <c r="BG143" s="363"/>
      <c r="BH143" s="363"/>
      <c r="BI143" s="363"/>
      <c r="BJ143" s="363"/>
      <c r="BK143" s="363"/>
      <c r="BL143" s="363"/>
      <c r="BM143" s="363"/>
      <c r="BN143" s="3493"/>
    </row>
    <row r="144" spans="1:66" s="342" customFormat="1" ht="14.25" customHeight="1">
      <c r="A144" s="1769"/>
      <c r="B144" s="1775" t="s">
        <v>254</v>
      </c>
      <c r="C144" s="98" t="s">
        <v>242</v>
      </c>
      <c r="D144" s="67" t="s">
        <v>50</v>
      </c>
      <c r="E144" s="67" t="s">
        <v>116</v>
      </c>
      <c r="F144" s="1771"/>
      <c r="G144" s="1771"/>
      <c r="H144" s="1774"/>
      <c r="I144" s="363"/>
      <c r="J144" s="363"/>
      <c r="K144" s="363"/>
      <c r="L144" s="363"/>
      <c r="M144" s="363"/>
      <c r="N144" s="363"/>
      <c r="O144" s="363"/>
      <c r="P144" s="363"/>
      <c r="Q144" s="363"/>
      <c r="R144" s="363"/>
      <c r="S144" s="363"/>
      <c r="T144" s="363"/>
      <c r="U144" s="363"/>
      <c r="V144" s="363"/>
      <c r="W144" s="363"/>
      <c r="X144" s="363"/>
      <c r="Y144" s="363"/>
      <c r="Z144" s="363"/>
      <c r="AA144" s="363"/>
      <c r="AB144" s="358"/>
      <c r="AC144" s="358"/>
      <c r="AD144" s="358"/>
      <c r="AE144" s="358"/>
      <c r="AF144" s="358"/>
      <c r="AG144" s="358"/>
      <c r="AH144" s="358"/>
      <c r="AI144" s="358"/>
      <c r="AJ144" s="358"/>
      <c r="AK144" s="358"/>
      <c r="AL144" s="358"/>
      <c r="AM144" s="358"/>
      <c r="AN144" s="358"/>
      <c r="AO144" s="358"/>
      <c r="AP144" s="358"/>
      <c r="AQ144" s="358"/>
      <c r="AR144" s="358"/>
      <c r="AS144" s="358"/>
      <c r="AT144" s="358"/>
      <c r="AU144" s="358"/>
      <c r="AV144" s="358"/>
      <c r="AW144" s="358"/>
      <c r="AX144" s="358"/>
      <c r="AY144" s="358"/>
      <c r="AZ144" s="358"/>
      <c r="BA144" s="358"/>
      <c r="BB144" s="358"/>
      <c r="BC144" s="363"/>
      <c r="BD144" s="363"/>
      <c r="BE144" s="363"/>
      <c r="BF144" s="363"/>
      <c r="BG144" s="363"/>
      <c r="BH144" s="363"/>
      <c r="BI144" s="363"/>
      <c r="BJ144" s="363"/>
      <c r="BK144" s="363"/>
      <c r="BL144" s="363"/>
      <c r="BM144" s="363"/>
      <c r="BN144" s="3493"/>
    </row>
    <row r="145" spans="1:66" s="342" customFormat="1" ht="14.25" customHeight="1">
      <c r="A145" s="1769"/>
      <c r="B145" s="1913" t="s">
        <v>245</v>
      </c>
      <c r="C145" s="1906">
        <v>365</v>
      </c>
      <c r="D145" s="1907">
        <v>10</v>
      </c>
      <c r="E145" s="1907">
        <v>36</v>
      </c>
      <c r="F145" s="1771"/>
      <c r="G145" s="1771"/>
      <c r="H145" s="1774"/>
      <c r="I145" s="363"/>
      <c r="J145" s="363"/>
      <c r="K145" s="363"/>
      <c r="L145" s="363"/>
      <c r="M145" s="363"/>
      <c r="N145" s="363"/>
      <c r="O145" s="363"/>
      <c r="P145" s="363"/>
      <c r="Q145" s="363"/>
      <c r="R145" s="363"/>
      <c r="S145" s="363"/>
      <c r="T145" s="363"/>
      <c r="U145" s="363"/>
      <c r="V145" s="363"/>
      <c r="W145" s="363"/>
      <c r="X145" s="363"/>
      <c r="Y145" s="363"/>
      <c r="Z145" s="363"/>
      <c r="AA145" s="363"/>
      <c r="AB145" s="358"/>
      <c r="AC145" s="358"/>
      <c r="AD145" s="358"/>
      <c r="AE145" s="358"/>
      <c r="AF145" s="358"/>
      <c r="AG145" s="358"/>
      <c r="AH145" s="358"/>
      <c r="AI145" s="358"/>
      <c r="AJ145" s="358"/>
      <c r="AK145" s="358"/>
      <c r="AL145" s="358"/>
      <c r="AM145" s="358"/>
      <c r="AN145" s="358"/>
      <c r="AO145" s="358"/>
      <c r="AP145" s="358"/>
      <c r="AQ145" s="358"/>
      <c r="AR145" s="358"/>
      <c r="AS145" s="358"/>
      <c r="AT145" s="358"/>
      <c r="AU145" s="358"/>
      <c r="AV145" s="358"/>
      <c r="AW145" s="358"/>
      <c r="AX145" s="358"/>
      <c r="AY145" s="358"/>
      <c r="AZ145" s="358"/>
      <c r="BA145" s="358"/>
      <c r="BB145" s="358"/>
      <c r="BC145" s="363"/>
      <c r="BD145" s="363"/>
      <c r="BE145" s="363"/>
      <c r="BF145" s="363"/>
      <c r="BG145" s="363"/>
      <c r="BH145" s="363"/>
      <c r="BI145" s="363"/>
      <c r="BJ145" s="363"/>
      <c r="BK145" s="363"/>
      <c r="BL145" s="363"/>
      <c r="BM145" s="363"/>
      <c r="BN145" s="3493"/>
    </row>
    <row r="146" spans="1:66" s="342" customFormat="1" ht="14.25" customHeight="1">
      <c r="A146" s="1769"/>
      <c r="B146" s="1914" t="s">
        <v>250</v>
      </c>
      <c r="C146" s="1906"/>
      <c r="D146" s="1907"/>
      <c r="E146" s="1907"/>
      <c r="F146" s="1771"/>
      <c r="G146" s="1771"/>
      <c r="H146" s="1774"/>
      <c r="I146" s="363"/>
      <c r="J146" s="363"/>
      <c r="K146" s="363"/>
      <c r="L146" s="363"/>
      <c r="M146" s="363"/>
      <c r="N146" s="363"/>
      <c r="O146" s="363"/>
      <c r="P146" s="363"/>
      <c r="Q146" s="363"/>
      <c r="R146" s="363"/>
      <c r="S146" s="363"/>
      <c r="T146" s="363"/>
      <c r="U146" s="363"/>
      <c r="V146" s="363"/>
      <c r="W146" s="363"/>
      <c r="X146" s="363"/>
      <c r="Y146" s="363"/>
      <c r="Z146" s="363"/>
      <c r="AA146" s="363"/>
      <c r="AB146" s="77"/>
      <c r="AC146" s="388"/>
      <c r="AD146" s="388"/>
      <c r="AE146" s="388"/>
      <c r="AF146" s="388"/>
      <c r="AG146" s="388"/>
      <c r="AH146" s="388"/>
      <c r="AI146" s="358"/>
      <c r="AJ146" s="358"/>
      <c r="AK146" s="358"/>
      <c r="AL146" s="358"/>
      <c r="AM146" s="358"/>
      <c r="AN146" s="358"/>
      <c r="AO146" s="358"/>
      <c r="AP146" s="358"/>
      <c r="AQ146" s="358"/>
      <c r="AR146" s="358"/>
      <c r="AS146" s="358"/>
      <c r="AT146" s="358"/>
      <c r="AU146" s="358"/>
      <c r="AV146" s="358"/>
      <c r="AW146" s="358"/>
      <c r="AX146" s="358"/>
      <c r="AY146" s="358"/>
      <c r="AZ146" s="358"/>
      <c r="BA146" s="358"/>
      <c r="BB146" s="358"/>
      <c r="BC146" s="363"/>
      <c r="BD146" s="363"/>
      <c r="BE146" s="363"/>
      <c r="BF146" s="363"/>
      <c r="BG146" s="363"/>
      <c r="BH146" s="363"/>
      <c r="BI146" s="363"/>
      <c r="BJ146" s="363"/>
      <c r="BK146" s="363"/>
      <c r="BL146" s="363"/>
      <c r="BM146" s="363"/>
      <c r="BN146" s="3493"/>
    </row>
    <row r="147" spans="1:66" s="342" customFormat="1" ht="14.25" customHeight="1">
      <c r="A147" s="1769"/>
      <c r="B147" s="593"/>
      <c r="C147" s="67" t="s">
        <v>41</v>
      </c>
      <c r="D147" s="67" t="s">
        <v>43</v>
      </c>
      <c r="E147" s="592"/>
      <c r="F147" s="1771"/>
      <c r="G147" s="1771"/>
      <c r="H147" s="1774"/>
      <c r="I147" s="4539" t="s">
        <v>1675</v>
      </c>
      <c r="J147" s="363"/>
      <c r="K147" s="363"/>
      <c r="L147" s="363"/>
      <c r="M147" s="363"/>
      <c r="N147" s="363"/>
      <c r="O147" s="363"/>
      <c r="P147" s="363"/>
      <c r="Q147" s="363"/>
      <c r="R147" s="363"/>
      <c r="S147" s="363"/>
      <c r="T147" s="363"/>
      <c r="U147" s="363"/>
      <c r="V147" s="363"/>
      <c r="W147" s="363"/>
      <c r="X147" s="363"/>
      <c r="Y147" s="363"/>
      <c r="Z147" s="363"/>
      <c r="AA147" s="363"/>
      <c r="AB147" s="77"/>
      <c r="AC147" s="388"/>
      <c r="AD147" s="388"/>
      <c r="AE147" s="388"/>
      <c r="AF147" s="388"/>
      <c r="AG147" s="388"/>
      <c r="AH147" s="388"/>
      <c r="AI147" s="358"/>
      <c r="AJ147" s="358"/>
      <c r="AK147" s="358"/>
      <c r="AL147" s="358"/>
      <c r="AM147" s="358"/>
      <c r="AN147" s="358"/>
      <c r="AO147" s="358"/>
      <c r="AP147" s="358"/>
      <c r="AQ147" s="358"/>
      <c r="AR147" s="358"/>
      <c r="AS147" s="358"/>
      <c r="AT147" s="358"/>
      <c r="AU147" s="358"/>
      <c r="AV147" s="358"/>
      <c r="AW147" s="358"/>
      <c r="AX147" s="358"/>
      <c r="AY147" s="358"/>
      <c r="AZ147" s="358"/>
      <c r="BA147" s="358"/>
      <c r="BB147" s="358"/>
      <c r="BC147" s="363"/>
      <c r="BD147" s="363"/>
      <c r="BE147" s="363"/>
      <c r="BF147" s="363"/>
      <c r="BG147" s="363"/>
      <c r="BH147" s="363"/>
      <c r="BI147" s="363"/>
      <c r="BJ147" s="363"/>
      <c r="BK147" s="363"/>
      <c r="BL147" s="363"/>
      <c r="BM147" s="363"/>
      <c r="BN147" s="3493"/>
    </row>
    <row r="148" spans="1:66" s="342" customFormat="1" ht="14.25" customHeight="1">
      <c r="A148" s="4634" t="s">
        <v>255</v>
      </c>
      <c r="B148" s="4463"/>
      <c r="C148" s="98" t="s">
        <v>242</v>
      </c>
      <c r="D148" s="98" t="s">
        <v>256</v>
      </c>
      <c r="E148" s="98" t="s">
        <v>257</v>
      </c>
      <c r="F148" s="98" t="s">
        <v>50</v>
      </c>
      <c r="G148" s="98" t="s">
        <v>258</v>
      </c>
      <c r="H148" s="1776" t="s">
        <v>259</v>
      </c>
      <c r="I148" s="4539"/>
      <c r="J148" s="363"/>
      <c r="K148" s="363"/>
      <c r="L148" s="363"/>
      <c r="M148" s="363"/>
      <c r="N148" s="363"/>
      <c r="O148" s="363"/>
      <c r="P148" s="363"/>
      <c r="Q148" s="363"/>
      <c r="R148" s="363"/>
      <c r="S148" s="363"/>
      <c r="T148" s="363"/>
      <c r="U148" s="363"/>
      <c r="V148" s="363"/>
      <c r="W148" s="363"/>
      <c r="X148" s="363"/>
      <c r="Y148" s="363"/>
      <c r="Z148" s="363"/>
      <c r="AA148" s="363"/>
      <c r="AB148" s="358"/>
      <c r="AC148" s="358"/>
      <c r="AD148" s="358"/>
      <c r="AE148" s="358"/>
      <c r="AF148" s="358"/>
      <c r="AG148" s="358"/>
      <c r="AH148" s="358"/>
      <c r="AI148" s="358"/>
      <c r="AJ148" s="358"/>
      <c r="AK148" s="358"/>
      <c r="AL148" s="358"/>
      <c r="AM148" s="358"/>
      <c r="AN148" s="358"/>
      <c r="AO148" s="358"/>
      <c r="AP148" s="358"/>
      <c r="AQ148" s="358"/>
      <c r="AR148" s="358"/>
      <c r="AS148" s="358"/>
      <c r="AT148" s="358"/>
      <c r="AU148" s="358"/>
      <c r="AV148" s="358"/>
      <c r="AW148" s="358"/>
      <c r="AX148" s="358"/>
      <c r="AY148" s="358"/>
      <c r="AZ148" s="358"/>
      <c r="BA148" s="358"/>
      <c r="BB148" s="358"/>
      <c r="BC148" s="363"/>
      <c r="BD148" s="363"/>
      <c r="BE148" s="363"/>
      <c r="BF148" s="363"/>
      <c r="BG148" s="363"/>
      <c r="BH148" s="363"/>
      <c r="BI148" s="363"/>
      <c r="BJ148" s="363"/>
      <c r="BK148" s="363"/>
      <c r="BL148" s="363"/>
      <c r="BM148" s="363"/>
      <c r="BN148" s="3493"/>
    </row>
    <row r="149" spans="1:66" s="342" customFormat="1" ht="14.25" customHeight="1">
      <c r="A149" s="1769"/>
      <c r="B149" s="1915" t="s">
        <v>260</v>
      </c>
      <c r="C149" s="1903">
        <f>G149*$C$5/100</f>
        <v>198.75</v>
      </c>
      <c r="D149" s="1903">
        <f t="shared" ref="D149:D159" si="105">(F149*E149)/100</f>
        <v>908.8</v>
      </c>
      <c r="E149" s="1904">
        <v>71</v>
      </c>
      <c r="F149" s="1904">
        <v>1280</v>
      </c>
      <c r="G149" s="1904">
        <v>265</v>
      </c>
      <c r="H149" s="1916" t="s">
        <v>261</v>
      </c>
      <c r="I149" s="1896">
        <f>C52/C$4</f>
        <v>0</v>
      </c>
      <c r="J149" s="363"/>
      <c r="K149" s="363"/>
      <c r="L149" s="363"/>
      <c r="M149" s="363"/>
      <c r="N149" s="363"/>
      <c r="O149" s="363"/>
      <c r="P149" s="363"/>
      <c r="Q149" s="363"/>
      <c r="R149" s="363"/>
      <c r="S149" s="363"/>
      <c r="T149" s="363"/>
      <c r="U149" s="363"/>
      <c r="V149" s="363"/>
      <c r="W149" s="363"/>
      <c r="X149" s="363"/>
      <c r="Y149" s="363"/>
      <c r="Z149" s="363"/>
      <c r="AA149" s="363"/>
      <c r="AB149" s="358"/>
      <c r="AC149" s="358"/>
      <c r="AD149" s="358"/>
      <c r="AE149" s="358"/>
      <c r="AF149" s="358"/>
      <c r="AG149" s="358"/>
      <c r="AH149" s="358"/>
      <c r="AI149" s="358"/>
      <c r="AJ149" s="358"/>
      <c r="AK149" s="358"/>
      <c r="AL149" s="358"/>
      <c r="AM149" s="358"/>
      <c r="AN149" s="358"/>
      <c r="AO149" s="358"/>
      <c r="AP149" s="358"/>
      <c r="AQ149" s="358"/>
      <c r="AR149" s="358"/>
      <c r="AS149" s="358"/>
      <c r="AT149" s="358"/>
      <c r="AU149" s="358"/>
      <c r="AV149" s="358"/>
      <c r="AW149" s="358"/>
      <c r="AX149" s="358"/>
      <c r="AY149" s="358"/>
      <c r="AZ149" s="358"/>
      <c r="BA149" s="358"/>
      <c r="BB149" s="358"/>
      <c r="BC149" s="363"/>
      <c r="BD149" s="363"/>
      <c r="BE149" s="363"/>
      <c r="BF149" s="363"/>
      <c r="BG149" s="363"/>
      <c r="BH149" s="363"/>
      <c r="BI149" s="363"/>
      <c r="BJ149" s="363"/>
      <c r="BK149" s="363"/>
      <c r="BL149" s="363"/>
      <c r="BM149" s="363"/>
      <c r="BN149" s="3493"/>
    </row>
    <row r="150" spans="1:66" s="342" customFormat="1" ht="14.25" customHeight="1">
      <c r="A150" s="1769"/>
      <c r="B150" s="1917" t="s">
        <v>262</v>
      </c>
      <c r="C150" s="1906">
        <f t="shared" ref="C150:C159" si="106">G150*$C$5/100</f>
        <v>198.75</v>
      </c>
      <c r="D150" s="1906">
        <f t="shared" si="105"/>
        <v>18.5</v>
      </c>
      <c r="E150" s="1907">
        <v>74</v>
      </c>
      <c r="F150" s="1907">
        <v>25</v>
      </c>
      <c r="G150" s="1907">
        <v>265</v>
      </c>
      <c r="H150" s="1918" t="s">
        <v>261</v>
      </c>
      <c r="I150" s="1896">
        <f t="shared" ref="I150:I159" si="107">C53/C$4</f>
        <v>0</v>
      </c>
      <c r="J150" s="363"/>
      <c r="K150" s="363"/>
      <c r="L150" s="363"/>
      <c r="M150" s="363"/>
      <c r="N150" s="363"/>
      <c r="O150" s="363"/>
      <c r="P150" s="363"/>
      <c r="Q150" s="363"/>
      <c r="R150" s="363"/>
      <c r="S150" s="363"/>
      <c r="T150" s="363"/>
      <c r="U150" s="363"/>
      <c r="V150" s="363"/>
      <c r="W150" s="363"/>
      <c r="X150" s="363"/>
      <c r="Y150" s="363"/>
      <c r="Z150" s="363"/>
      <c r="AA150" s="363"/>
      <c r="AB150" s="358"/>
      <c r="AC150" s="358"/>
      <c r="AD150" s="358"/>
      <c r="AE150" s="358"/>
      <c r="AF150" s="358"/>
      <c r="AG150" s="358"/>
      <c r="AH150" s="358"/>
      <c r="AI150" s="358"/>
      <c r="AJ150" s="358"/>
      <c r="AK150" s="358"/>
      <c r="AL150" s="358"/>
      <c r="AM150" s="358"/>
      <c r="AN150" s="358"/>
      <c r="AO150" s="358"/>
      <c r="AP150" s="358"/>
      <c r="AQ150" s="358"/>
      <c r="AR150" s="358"/>
      <c r="AS150" s="358"/>
      <c r="AT150" s="358"/>
      <c r="AU150" s="358"/>
      <c r="AV150" s="358"/>
      <c r="AW150" s="358"/>
      <c r="AX150" s="358"/>
      <c r="AY150" s="358"/>
      <c r="AZ150" s="358"/>
      <c r="BA150" s="358"/>
      <c r="BB150" s="358"/>
      <c r="BC150" s="363"/>
      <c r="BD150" s="363"/>
      <c r="BE150" s="363"/>
      <c r="BF150" s="363"/>
      <c r="BG150" s="363"/>
      <c r="BH150" s="363"/>
      <c r="BI150" s="363"/>
      <c r="BJ150" s="363"/>
      <c r="BK150" s="363"/>
      <c r="BL150" s="363"/>
      <c r="BM150" s="363"/>
      <c r="BN150" s="3493"/>
    </row>
    <row r="151" spans="1:66" s="342" customFormat="1" ht="14.25" customHeight="1">
      <c r="A151" s="1769"/>
      <c r="B151" s="1917" t="s">
        <v>263</v>
      </c>
      <c r="C151" s="1906">
        <f t="shared" si="106"/>
        <v>198.75</v>
      </c>
      <c r="D151" s="1906">
        <f t="shared" si="105"/>
        <v>8.8800000000000008</v>
      </c>
      <c r="E151" s="1907">
        <v>74</v>
      </c>
      <c r="F151" s="1907">
        <v>12</v>
      </c>
      <c r="G151" s="1907">
        <v>265</v>
      </c>
      <c r="H151" s="1918" t="s">
        <v>261</v>
      </c>
      <c r="I151" s="1896">
        <f t="shared" si="107"/>
        <v>0</v>
      </c>
      <c r="J151" s="363"/>
      <c r="K151" s="363"/>
      <c r="L151" s="363"/>
      <c r="M151" s="363"/>
      <c r="N151" s="363"/>
      <c r="O151" s="363"/>
      <c r="P151" s="363"/>
      <c r="Q151" s="363"/>
      <c r="R151" s="363"/>
      <c r="S151" s="363"/>
      <c r="T151" s="363"/>
      <c r="U151" s="363"/>
      <c r="V151" s="363"/>
      <c r="W151" s="363"/>
      <c r="X151" s="363"/>
      <c r="Y151" s="363"/>
      <c r="Z151" s="363"/>
      <c r="AA151" s="363"/>
      <c r="AB151" s="358"/>
      <c r="AC151" s="358"/>
      <c r="AD151" s="358"/>
      <c r="AE151" s="358"/>
      <c r="AF151" s="358"/>
      <c r="AG151" s="358"/>
      <c r="AH151" s="358"/>
      <c r="AI151" s="358"/>
      <c r="AJ151" s="358"/>
      <c r="AK151" s="358"/>
      <c r="AL151" s="358"/>
      <c r="AM151" s="358"/>
      <c r="AN151" s="358"/>
      <c r="AO151" s="358"/>
      <c r="AP151" s="358"/>
      <c r="AQ151" s="358"/>
      <c r="AR151" s="358"/>
      <c r="AS151" s="358"/>
      <c r="AT151" s="358"/>
      <c r="AU151" s="358"/>
      <c r="AV151" s="358"/>
      <c r="AW151" s="358"/>
      <c r="AX151" s="358"/>
      <c r="AY151" s="358"/>
      <c r="AZ151" s="358"/>
      <c r="BA151" s="358"/>
      <c r="BB151" s="358"/>
      <c r="BC151" s="363"/>
      <c r="BD151" s="363"/>
      <c r="BE151" s="363"/>
      <c r="BF151" s="363"/>
      <c r="BG151" s="363"/>
      <c r="BH151" s="363"/>
      <c r="BI151" s="363"/>
      <c r="BJ151" s="363"/>
      <c r="BK151" s="363"/>
      <c r="BL151" s="363"/>
      <c r="BM151" s="363"/>
      <c r="BN151" s="3493"/>
    </row>
    <row r="152" spans="1:66" s="342" customFormat="1" ht="14.25" customHeight="1">
      <c r="A152" s="1769"/>
      <c r="B152" s="1919" t="s">
        <v>264</v>
      </c>
      <c r="C152" s="1906">
        <f t="shared" si="106"/>
        <v>198.75</v>
      </c>
      <c r="D152" s="1906">
        <f t="shared" si="105"/>
        <v>7.4</v>
      </c>
      <c r="E152" s="1907">
        <v>74</v>
      </c>
      <c r="F152" s="1907">
        <v>10</v>
      </c>
      <c r="G152" s="1907">
        <v>265</v>
      </c>
      <c r="H152" s="1918" t="s">
        <v>261</v>
      </c>
      <c r="I152" s="1896">
        <f t="shared" si="107"/>
        <v>0</v>
      </c>
      <c r="J152" s="363"/>
      <c r="K152" s="363"/>
      <c r="L152" s="363"/>
      <c r="M152" s="363"/>
      <c r="N152" s="363"/>
      <c r="O152" s="363"/>
      <c r="P152" s="363"/>
      <c r="Q152" s="363"/>
      <c r="R152" s="363"/>
      <c r="S152" s="363"/>
      <c r="T152" s="363"/>
      <c r="U152" s="363"/>
      <c r="V152" s="363"/>
      <c r="W152" s="363"/>
      <c r="X152" s="363"/>
      <c r="Y152" s="363"/>
      <c r="Z152" s="363"/>
      <c r="AA152" s="363"/>
      <c r="AB152" s="358"/>
      <c r="AC152" s="358"/>
      <c r="AD152" s="358"/>
      <c r="AE152" s="358"/>
      <c r="AF152" s="358"/>
      <c r="AG152" s="358"/>
      <c r="AH152" s="358"/>
      <c r="AI152" s="358"/>
      <c r="AJ152" s="358"/>
      <c r="AK152" s="358"/>
      <c r="AL152" s="358"/>
      <c r="AM152" s="358"/>
      <c r="AN152" s="358"/>
      <c r="AO152" s="358"/>
      <c r="AP152" s="358"/>
      <c r="AQ152" s="358"/>
      <c r="AR152" s="358"/>
      <c r="AS152" s="358"/>
      <c r="AT152" s="358"/>
      <c r="AU152" s="358"/>
      <c r="AV152" s="358"/>
      <c r="AW152" s="358"/>
      <c r="AX152" s="358"/>
      <c r="AY152" s="358"/>
      <c r="AZ152" s="358"/>
      <c r="BA152" s="358"/>
      <c r="BB152" s="358"/>
      <c r="BC152" s="363"/>
      <c r="BD152" s="363"/>
      <c r="BE152" s="363"/>
      <c r="BF152" s="363"/>
      <c r="BG152" s="363"/>
      <c r="BH152" s="363"/>
      <c r="BI152" s="363"/>
      <c r="BJ152" s="363"/>
      <c r="BK152" s="363"/>
      <c r="BL152" s="363"/>
      <c r="BM152" s="363"/>
      <c r="BN152" s="3493"/>
    </row>
    <row r="153" spans="1:66" s="342" customFormat="1" ht="14.25" customHeight="1">
      <c r="A153" s="1769"/>
      <c r="B153" s="1917" t="s">
        <v>265</v>
      </c>
      <c r="C153" s="1906">
        <f t="shared" si="106"/>
        <v>198.75</v>
      </c>
      <c r="D153" s="1906">
        <f t="shared" si="105"/>
        <v>763.2</v>
      </c>
      <c r="E153" s="1907">
        <v>72</v>
      </c>
      <c r="F153" s="1907">
        <v>1060</v>
      </c>
      <c r="G153" s="1907">
        <v>265</v>
      </c>
      <c r="H153" s="1920" t="s">
        <v>266</v>
      </c>
      <c r="I153" s="1896">
        <f t="shared" si="107"/>
        <v>0</v>
      </c>
      <c r="J153" s="363"/>
      <c r="K153" s="363"/>
      <c r="L153" s="363"/>
      <c r="M153" s="363"/>
      <c r="N153" s="363"/>
      <c r="O153" s="363"/>
      <c r="P153" s="363"/>
      <c r="Q153" s="363"/>
      <c r="R153" s="363"/>
      <c r="S153" s="363"/>
      <c r="T153" s="363"/>
      <c r="U153" s="363"/>
      <c r="V153" s="363"/>
      <c r="W153" s="363"/>
      <c r="X153" s="363"/>
      <c r="Y153" s="363"/>
      <c r="Z153" s="363"/>
      <c r="AA153" s="363"/>
      <c r="AB153" s="358"/>
      <c r="AC153" s="358"/>
      <c r="AD153" s="358"/>
      <c r="AE153" s="358"/>
      <c r="AF153" s="358"/>
      <c r="AG153" s="358"/>
      <c r="AH153" s="358"/>
      <c r="AI153" s="358"/>
      <c r="AJ153" s="358"/>
      <c r="AK153" s="358"/>
      <c r="AL153" s="358"/>
      <c r="AM153" s="358"/>
      <c r="AN153" s="358"/>
      <c r="AO153" s="358"/>
      <c r="AP153" s="358"/>
      <c r="AQ153" s="358"/>
      <c r="AR153" s="358"/>
      <c r="AS153" s="358"/>
      <c r="AT153" s="358"/>
      <c r="AU153" s="358"/>
      <c r="AV153" s="358"/>
      <c r="AW153" s="358"/>
      <c r="AX153" s="358"/>
      <c r="AY153" s="358"/>
      <c r="AZ153" s="358"/>
      <c r="BA153" s="358"/>
      <c r="BB153" s="358"/>
      <c r="BC153" s="363"/>
      <c r="BD153" s="363"/>
      <c r="BE153" s="363"/>
      <c r="BF153" s="363"/>
      <c r="BG153" s="363"/>
      <c r="BH153" s="363"/>
      <c r="BI153" s="363"/>
      <c r="BJ153" s="363"/>
      <c r="BK153" s="363"/>
      <c r="BL153" s="363"/>
      <c r="BM153" s="363"/>
      <c r="BN153" s="3493"/>
    </row>
    <row r="154" spans="1:66" s="342" customFormat="1" ht="14.25" customHeight="1">
      <c r="A154" s="1769"/>
      <c r="B154" s="1917" t="s">
        <v>267</v>
      </c>
      <c r="C154" s="1906">
        <f t="shared" si="106"/>
        <v>198.75</v>
      </c>
      <c r="D154" s="1906">
        <f t="shared" si="105"/>
        <v>148</v>
      </c>
      <c r="E154" s="1907">
        <v>74</v>
      </c>
      <c r="F154" s="1907">
        <v>200</v>
      </c>
      <c r="G154" s="1907">
        <v>265</v>
      </c>
      <c r="H154" s="1918" t="s">
        <v>268</v>
      </c>
      <c r="I154" s="1896">
        <f t="shared" si="107"/>
        <v>0</v>
      </c>
      <c r="J154" s="363"/>
      <c r="K154" s="363"/>
      <c r="L154" s="363"/>
      <c r="M154" s="363"/>
      <c r="N154" s="363"/>
      <c r="O154" s="363"/>
      <c r="P154" s="363"/>
      <c r="Q154" s="363"/>
      <c r="R154" s="363"/>
      <c r="S154" s="363"/>
      <c r="T154" s="363"/>
      <c r="U154" s="363"/>
      <c r="V154" s="363"/>
      <c r="W154" s="363"/>
      <c r="X154" s="363"/>
      <c r="Y154" s="363"/>
      <c r="Z154" s="363"/>
      <c r="AA154" s="363"/>
      <c r="AB154" s="358"/>
      <c r="AC154" s="358"/>
      <c r="AD154" s="358"/>
      <c r="AE154" s="358"/>
      <c r="AF154" s="358"/>
      <c r="AG154" s="358"/>
      <c r="AH154" s="358"/>
      <c r="AI154" s="358"/>
      <c r="AJ154" s="358"/>
      <c r="AK154" s="358"/>
      <c r="AL154" s="358"/>
      <c r="AM154" s="358"/>
      <c r="AN154" s="358"/>
      <c r="AO154" s="358"/>
      <c r="AP154" s="358"/>
      <c r="AQ154" s="358"/>
      <c r="AR154" s="358"/>
      <c r="AS154" s="358"/>
      <c r="AT154" s="358"/>
      <c r="AU154" s="358"/>
      <c r="AV154" s="358"/>
      <c r="AW154" s="358"/>
      <c r="AX154" s="358"/>
      <c r="AY154" s="358"/>
      <c r="AZ154" s="358"/>
      <c r="BA154" s="358"/>
      <c r="BB154" s="358"/>
      <c r="BC154" s="363"/>
      <c r="BD154" s="363"/>
      <c r="BE154" s="363"/>
      <c r="BF154" s="363"/>
      <c r="BG154" s="363"/>
      <c r="BH154" s="363"/>
      <c r="BI154" s="363"/>
      <c r="BJ154" s="363"/>
      <c r="BK154" s="363"/>
      <c r="BL154" s="363"/>
      <c r="BM154" s="363"/>
      <c r="BN154" s="3493"/>
    </row>
    <row r="155" spans="1:66" s="342" customFormat="1" ht="14.25" customHeight="1">
      <c r="A155" s="1769"/>
      <c r="B155" s="1917" t="s">
        <v>269</v>
      </c>
      <c r="C155" s="1906">
        <f t="shared" si="106"/>
        <v>198.75</v>
      </c>
      <c r="D155" s="1906">
        <f t="shared" si="105"/>
        <v>77.7</v>
      </c>
      <c r="E155" s="1907">
        <v>74</v>
      </c>
      <c r="F155" s="1907">
        <v>105</v>
      </c>
      <c r="G155" s="1907">
        <v>265</v>
      </c>
      <c r="H155" s="1918" t="s">
        <v>268</v>
      </c>
      <c r="I155" s="1896">
        <f t="shared" si="107"/>
        <v>0</v>
      </c>
      <c r="J155" s="363"/>
      <c r="K155" s="363"/>
      <c r="L155" s="363"/>
      <c r="M155" s="363"/>
      <c r="N155" s="363"/>
      <c r="O155" s="363"/>
      <c r="P155" s="363"/>
      <c r="Q155" s="363"/>
      <c r="R155" s="363"/>
      <c r="S155" s="363"/>
      <c r="T155" s="363"/>
      <c r="U155" s="363"/>
      <c r="V155" s="363"/>
      <c r="W155" s="363"/>
      <c r="X155" s="363"/>
      <c r="Y155" s="363"/>
      <c r="Z155" s="363"/>
      <c r="AA155" s="363"/>
      <c r="AB155" s="358"/>
      <c r="AC155" s="358"/>
      <c r="AD155" s="358"/>
      <c r="AE155" s="358"/>
      <c r="AF155" s="358"/>
      <c r="AG155" s="358"/>
      <c r="AH155" s="358"/>
      <c r="AI155" s="358"/>
      <c r="AJ155" s="358"/>
      <c r="AK155" s="358"/>
      <c r="AL155" s="358"/>
      <c r="AM155" s="358"/>
      <c r="AN155" s="358"/>
      <c r="AO155" s="358"/>
      <c r="AP155" s="358"/>
      <c r="AQ155" s="358"/>
      <c r="AR155" s="358"/>
      <c r="AS155" s="358"/>
      <c r="AT155" s="358"/>
      <c r="AU155" s="358"/>
      <c r="AV155" s="358"/>
      <c r="AW155" s="358"/>
      <c r="AX155" s="358"/>
      <c r="AY155" s="358"/>
      <c r="AZ155" s="358"/>
      <c r="BA155" s="358"/>
      <c r="BB155" s="358"/>
      <c r="BC155" s="363"/>
      <c r="BD155" s="363"/>
      <c r="BE155" s="363"/>
      <c r="BF155" s="363"/>
      <c r="BG155" s="363"/>
      <c r="BH155" s="363"/>
      <c r="BI155" s="363"/>
      <c r="BJ155" s="363"/>
      <c r="BK155" s="363"/>
      <c r="BL155" s="363"/>
      <c r="BM155" s="363"/>
      <c r="BN155" s="3493"/>
    </row>
    <row r="156" spans="1:66" s="342" customFormat="1" ht="14.25" customHeight="1">
      <c r="A156" s="1769"/>
      <c r="B156" s="1917" t="s">
        <v>270</v>
      </c>
      <c r="C156" s="1906">
        <f t="shared" si="106"/>
        <v>198.75</v>
      </c>
      <c r="D156" s="1906">
        <f t="shared" si="105"/>
        <v>103.6</v>
      </c>
      <c r="E156" s="1907">
        <v>74</v>
      </c>
      <c r="F156" s="1907">
        <v>140</v>
      </c>
      <c r="G156" s="1907">
        <v>265</v>
      </c>
      <c r="H156" s="1918" t="s">
        <v>268</v>
      </c>
      <c r="I156" s="1896">
        <f t="shared" si="107"/>
        <v>0</v>
      </c>
      <c r="J156" s="363"/>
      <c r="K156" s="363"/>
      <c r="L156" s="363"/>
      <c r="M156" s="363"/>
      <c r="N156" s="363"/>
      <c r="O156" s="363"/>
      <c r="P156" s="363"/>
      <c r="Q156" s="363"/>
      <c r="R156" s="363"/>
      <c r="S156" s="363"/>
      <c r="T156" s="363"/>
      <c r="U156" s="363"/>
      <c r="V156" s="363"/>
      <c r="W156" s="363"/>
      <c r="X156" s="363"/>
      <c r="Y156" s="363"/>
      <c r="Z156" s="363"/>
      <c r="AA156" s="363"/>
      <c r="AB156" s="358"/>
      <c r="AC156" s="358"/>
      <c r="AD156" s="358"/>
      <c r="AE156" s="358"/>
      <c r="AF156" s="358"/>
      <c r="AG156" s="358"/>
      <c r="AH156" s="358"/>
      <c r="AI156" s="358"/>
      <c r="AJ156" s="358"/>
      <c r="AK156" s="358"/>
      <c r="AL156" s="358"/>
      <c r="AM156" s="358"/>
      <c r="AN156" s="358"/>
      <c r="AO156" s="358"/>
      <c r="AP156" s="358"/>
      <c r="AQ156" s="358"/>
      <c r="AR156" s="358"/>
      <c r="AS156" s="358"/>
      <c r="AT156" s="358"/>
      <c r="AU156" s="358"/>
      <c r="AV156" s="358"/>
      <c r="AW156" s="358"/>
      <c r="AX156" s="358"/>
      <c r="AY156" s="358"/>
      <c r="AZ156" s="358"/>
      <c r="BA156" s="358"/>
      <c r="BB156" s="358"/>
      <c r="BC156" s="363"/>
      <c r="BD156" s="363"/>
      <c r="BE156" s="363"/>
      <c r="BF156" s="363"/>
      <c r="BG156" s="363"/>
      <c r="BH156" s="363"/>
      <c r="BI156" s="363"/>
      <c r="BJ156" s="363"/>
      <c r="BK156" s="363"/>
      <c r="BL156" s="363"/>
      <c r="BM156" s="363"/>
      <c r="BN156" s="3493"/>
    </row>
    <row r="157" spans="1:66" s="342" customFormat="1" ht="14.25" customHeight="1">
      <c r="A157" s="1769"/>
      <c r="B157" s="1917" t="s">
        <v>271</v>
      </c>
      <c r="C157" s="1906">
        <f t="shared" si="106"/>
        <v>198.75</v>
      </c>
      <c r="D157" s="1906">
        <f t="shared" si="105"/>
        <v>902.8</v>
      </c>
      <c r="E157" s="1907">
        <v>74</v>
      </c>
      <c r="F157" s="1907">
        <v>1220</v>
      </c>
      <c r="G157" s="1907">
        <v>265</v>
      </c>
      <c r="H157" s="1918" t="s">
        <v>261</v>
      </c>
      <c r="I157" s="1896">
        <f t="shared" si="107"/>
        <v>29.333333333333332</v>
      </c>
      <c r="J157" s="363"/>
      <c r="K157" s="363"/>
      <c r="L157" s="363"/>
      <c r="M157" s="363"/>
      <c r="N157" s="363"/>
      <c r="O157" s="363"/>
      <c r="P157" s="363"/>
      <c r="Q157" s="363"/>
      <c r="R157" s="363"/>
      <c r="S157" s="363"/>
      <c r="T157" s="363"/>
      <c r="U157" s="363"/>
      <c r="V157" s="363"/>
      <c r="W157" s="363"/>
      <c r="X157" s="363"/>
      <c r="Y157" s="363"/>
      <c r="Z157" s="363"/>
      <c r="AA157" s="363"/>
      <c r="AB157" s="358"/>
      <c r="AC157" s="358"/>
      <c r="AD157" s="358"/>
      <c r="AE157" s="358"/>
      <c r="AF157" s="358"/>
      <c r="AG157" s="358"/>
      <c r="AH157" s="358"/>
      <c r="AI157" s="358"/>
      <c r="AJ157" s="358"/>
      <c r="AK157" s="358"/>
      <c r="AL157" s="358"/>
      <c r="AM157" s="358"/>
      <c r="AN157" s="358"/>
      <c r="AO157" s="358"/>
      <c r="AP157" s="358"/>
      <c r="AQ157" s="358"/>
      <c r="AR157" s="358"/>
      <c r="AS157" s="358"/>
      <c r="AT157" s="358"/>
      <c r="AU157" s="358"/>
      <c r="AV157" s="358"/>
      <c r="AW157" s="358"/>
      <c r="AX157" s="358"/>
      <c r="AY157" s="358"/>
      <c r="AZ157" s="358"/>
      <c r="BA157" s="358"/>
      <c r="BB157" s="358"/>
      <c r="BC157" s="363"/>
      <c r="BD157" s="363"/>
      <c r="BE157" s="363"/>
      <c r="BF157" s="363"/>
      <c r="BG157" s="363"/>
      <c r="BH157" s="363"/>
      <c r="BI157" s="363"/>
      <c r="BJ157" s="363"/>
      <c r="BK157" s="363"/>
      <c r="BL157" s="363"/>
      <c r="BM157" s="363"/>
      <c r="BN157" s="3493"/>
    </row>
    <row r="158" spans="1:66" s="342" customFormat="1" ht="14.25" customHeight="1">
      <c r="A158" s="1769"/>
      <c r="B158" s="1921" t="s">
        <v>272</v>
      </c>
      <c r="C158" s="1906">
        <f t="shared" si="106"/>
        <v>0</v>
      </c>
      <c r="D158" s="1906">
        <f t="shared" si="105"/>
        <v>0</v>
      </c>
      <c r="E158" s="1907"/>
      <c r="F158" s="1907"/>
      <c r="G158" s="1907"/>
      <c r="H158" s="1918"/>
      <c r="I158" s="1896">
        <f t="shared" si="107"/>
        <v>0</v>
      </c>
      <c r="J158" s="363"/>
      <c r="K158" s="363"/>
      <c r="L158" s="363"/>
      <c r="M158" s="363"/>
      <c r="N158" s="363"/>
      <c r="O158" s="363"/>
      <c r="P158" s="363"/>
      <c r="Q158" s="363"/>
      <c r="R158" s="363"/>
      <c r="S158" s="363"/>
      <c r="T158" s="363"/>
      <c r="U158" s="363"/>
      <c r="V158" s="363"/>
      <c r="W158" s="363"/>
      <c r="X158" s="363"/>
      <c r="Y158" s="363"/>
      <c r="Z158" s="363"/>
      <c r="AA158" s="363"/>
      <c r="AB158" s="358"/>
      <c r="AC158" s="358"/>
      <c r="AD158" s="358"/>
      <c r="AE158" s="358"/>
      <c r="AF158" s="358"/>
      <c r="AG158" s="358"/>
      <c r="AH158" s="358"/>
      <c r="AI158" s="358"/>
      <c r="AJ158" s="358"/>
      <c r="AK158" s="358"/>
      <c r="AL158" s="358"/>
      <c r="AM158" s="358"/>
      <c r="AN158" s="358"/>
      <c r="AO158" s="358"/>
      <c r="AP158" s="358"/>
      <c r="AQ158" s="358"/>
      <c r="AR158" s="358"/>
      <c r="AS158" s="358"/>
      <c r="AT158" s="358"/>
      <c r="AU158" s="358"/>
      <c r="AV158" s="358"/>
      <c r="AW158" s="358"/>
      <c r="AX158" s="358"/>
      <c r="AY158" s="358"/>
      <c r="AZ158" s="358"/>
      <c r="BA158" s="358"/>
      <c r="BB158" s="358"/>
      <c r="BC158" s="363"/>
      <c r="BD158" s="363"/>
      <c r="BE158" s="363"/>
      <c r="BF158" s="363"/>
      <c r="BG158" s="363"/>
      <c r="BH158" s="363"/>
      <c r="BI158" s="363"/>
      <c r="BJ158" s="363"/>
      <c r="BK158" s="363"/>
      <c r="BL158" s="363"/>
      <c r="BM158" s="363"/>
      <c r="BN158" s="3493"/>
    </row>
    <row r="159" spans="1:66" s="342" customFormat="1" ht="14.25" customHeight="1">
      <c r="A159" s="1769"/>
      <c r="B159" s="1921" t="s">
        <v>273</v>
      </c>
      <c r="C159" s="1906">
        <f t="shared" si="106"/>
        <v>0</v>
      </c>
      <c r="D159" s="1906">
        <f t="shared" si="105"/>
        <v>0</v>
      </c>
      <c r="E159" s="1907"/>
      <c r="F159" s="1907"/>
      <c r="G159" s="1907"/>
      <c r="H159" s="1922"/>
      <c r="I159" s="1896">
        <f t="shared" si="107"/>
        <v>0</v>
      </c>
      <c r="J159" s="363"/>
      <c r="K159" s="363"/>
      <c r="L159" s="363"/>
      <c r="M159" s="363"/>
      <c r="N159" s="363"/>
      <c r="O159" s="363"/>
      <c r="P159" s="363"/>
      <c r="Q159" s="363"/>
      <c r="R159" s="363"/>
      <c r="S159" s="363"/>
      <c r="T159" s="363"/>
      <c r="U159" s="363"/>
      <c r="V159" s="363"/>
      <c r="W159" s="363"/>
      <c r="X159" s="363"/>
      <c r="Y159" s="363"/>
      <c r="Z159" s="363"/>
      <c r="AA159" s="363"/>
      <c r="AB159" s="358"/>
      <c r="AC159" s="358"/>
      <c r="AD159" s="358"/>
      <c r="AE159" s="358"/>
      <c r="AF159" s="358"/>
      <c r="AG159" s="358"/>
      <c r="AH159" s="358"/>
      <c r="AI159" s="358"/>
      <c r="AJ159" s="358"/>
      <c r="AK159" s="358"/>
      <c r="AL159" s="358"/>
      <c r="AM159" s="358"/>
      <c r="AN159" s="358"/>
      <c r="AO159" s="358"/>
      <c r="AP159" s="358"/>
      <c r="AQ159" s="358"/>
      <c r="AR159" s="358"/>
      <c r="AS159" s="358"/>
      <c r="AT159" s="358"/>
      <c r="AU159" s="358"/>
      <c r="AV159" s="358"/>
      <c r="AW159" s="358"/>
      <c r="AX159" s="358"/>
      <c r="AY159" s="358"/>
      <c r="AZ159" s="358"/>
      <c r="BA159" s="358"/>
      <c r="BB159" s="358"/>
      <c r="BC159" s="363"/>
      <c r="BD159" s="363"/>
      <c r="BE159" s="363"/>
      <c r="BF159" s="363"/>
      <c r="BG159" s="363"/>
      <c r="BH159" s="363"/>
      <c r="BI159" s="363"/>
      <c r="BJ159" s="363"/>
      <c r="BK159" s="363"/>
      <c r="BL159" s="363"/>
      <c r="BM159" s="363"/>
      <c r="BN159" s="3493"/>
    </row>
    <row r="160" spans="1:66" s="342" customFormat="1" ht="14.25" customHeight="1">
      <c r="A160" s="1769"/>
      <c r="B160" s="1777"/>
      <c r="C160" s="67" t="s">
        <v>41</v>
      </c>
      <c r="D160" s="98" t="s">
        <v>42</v>
      </c>
      <c r="E160" s="98" t="s">
        <v>43</v>
      </c>
      <c r="F160" s="1778"/>
      <c r="G160" s="1779"/>
      <c r="H160" s="1780"/>
      <c r="I160" s="363"/>
      <c r="J160" s="363"/>
      <c r="K160" s="363"/>
      <c r="L160" s="363"/>
      <c r="M160" s="363"/>
      <c r="N160" s="363"/>
      <c r="O160" s="363"/>
      <c r="P160" s="363"/>
      <c r="Q160" s="363"/>
      <c r="R160" s="363"/>
      <c r="S160" s="363"/>
      <c r="T160" s="363"/>
      <c r="U160" s="363"/>
      <c r="V160" s="363"/>
      <c r="W160" s="363"/>
      <c r="X160" s="363"/>
      <c r="Y160" s="363"/>
      <c r="Z160" s="363"/>
      <c r="AA160" s="363"/>
      <c r="AB160" s="358"/>
      <c r="AC160" s="358"/>
      <c r="AD160" s="358"/>
      <c r="AE160" s="358"/>
      <c r="AF160" s="358"/>
      <c r="AG160" s="358"/>
      <c r="AH160" s="358"/>
      <c r="AI160" s="358"/>
      <c r="AJ160" s="358"/>
      <c r="AK160" s="358"/>
      <c r="AL160" s="358"/>
      <c r="AM160" s="358"/>
      <c r="AN160" s="358"/>
      <c r="AO160" s="358"/>
      <c r="AP160" s="358"/>
      <c r="AQ160" s="358"/>
      <c r="AR160" s="358"/>
      <c r="AS160" s="358"/>
      <c r="AT160" s="358"/>
      <c r="AU160" s="358"/>
      <c r="AV160" s="358"/>
      <c r="AW160" s="358"/>
      <c r="AX160" s="358"/>
      <c r="AY160" s="358"/>
      <c r="AZ160" s="358"/>
      <c r="BA160" s="358"/>
      <c r="BB160" s="358"/>
      <c r="BC160" s="363"/>
      <c r="BD160" s="363"/>
      <c r="BE160" s="363"/>
      <c r="BF160" s="363"/>
      <c r="BG160" s="363"/>
      <c r="BH160" s="363"/>
      <c r="BI160" s="363"/>
      <c r="BJ160" s="363"/>
      <c r="BK160" s="363"/>
      <c r="BL160" s="363"/>
      <c r="BM160" s="363"/>
      <c r="BN160" s="3493"/>
    </row>
    <row r="161" spans="1:66" s="342" customFormat="1" ht="14.25" customHeight="1">
      <c r="A161" s="4592" t="s">
        <v>103</v>
      </c>
      <c r="B161" s="4537"/>
      <c r="C161" s="98" t="s">
        <v>242</v>
      </c>
      <c r="D161" s="98" t="s">
        <v>49</v>
      </c>
      <c r="E161" s="98" t="s">
        <v>256</v>
      </c>
      <c r="F161" s="1781"/>
      <c r="G161" s="1782"/>
      <c r="H161" s="1783"/>
      <c r="I161" s="363"/>
      <c r="J161" s="363"/>
      <c r="K161" s="363"/>
      <c r="L161" s="363"/>
      <c r="M161" s="363"/>
      <c r="N161" s="363"/>
      <c r="O161" s="363"/>
      <c r="P161" s="363"/>
      <c r="Q161" s="363"/>
      <c r="R161" s="363"/>
      <c r="S161" s="363"/>
      <c r="T161" s="363"/>
      <c r="U161" s="363"/>
      <c r="V161" s="363"/>
      <c r="W161" s="363"/>
      <c r="X161" s="363"/>
      <c r="Y161" s="363"/>
      <c r="Z161" s="363"/>
      <c r="AA161" s="363"/>
      <c r="AB161" s="358"/>
      <c r="AC161" s="358"/>
      <c r="AD161" s="358"/>
      <c r="AE161" s="358"/>
      <c r="AF161" s="358"/>
      <c r="AG161" s="358"/>
      <c r="AH161" s="358"/>
      <c r="AI161" s="358"/>
      <c r="AJ161" s="358"/>
      <c r="AK161" s="358"/>
      <c r="AL161" s="358"/>
      <c r="AM161" s="358"/>
      <c r="AN161" s="358"/>
      <c r="AO161" s="358"/>
      <c r="AP161" s="358"/>
      <c r="AQ161" s="358"/>
      <c r="AR161" s="358"/>
      <c r="AS161" s="358"/>
      <c r="AT161" s="358"/>
      <c r="AU161" s="358"/>
      <c r="AV161" s="358"/>
      <c r="AW161" s="358"/>
      <c r="AX161" s="358"/>
      <c r="AY161" s="358"/>
      <c r="AZ161" s="358"/>
      <c r="BA161" s="358"/>
      <c r="BB161" s="358"/>
      <c r="BC161" s="363"/>
      <c r="BD161" s="363"/>
      <c r="BE161" s="363"/>
      <c r="BF161" s="363"/>
      <c r="BG161" s="363"/>
      <c r="BH161" s="363"/>
      <c r="BI161" s="363"/>
      <c r="BJ161" s="363"/>
      <c r="BK161" s="363"/>
      <c r="BL161" s="363"/>
      <c r="BM161" s="363"/>
      <c r="BN161" s="3493"/>
    </row>
    <row r="162" spans="1:66" s="342" customFormat="1" ht="14.25" customHeight="1">
      <c r="A162" s="1784"/>
      <c r="B162" s="1923" t="s">
        <v>274</v>
      </c>
      <c r="C162" s="1906">
        <v>375</v>
      </c>
      <c r="D162" s="1907">
        <v>1</v>
      </c>
      <c r="E162" s="1924"/>
      <c r="F162" s="1925"/>
      <c r="G162" s="1785"/>
      <c r="H162" s="1783"/>
      <c r="I162" s="363"/>
      <c r="J162" s="363"/>
      <c r="K162" s="363"/>
      <c r="L162" s="363"/>
      <c r="M162" s="363"/>
      <c r="N162" s="363"/>
      <c r="O162" s="363"/>
      <c r="P162" s="363"/>
      <c r="Q162" s="363"/>
      <c r="R162" s="363"/>
      <c r="S162" s="363"/>
      <c r="T162" s="363"/>
      <c r="U162" s="363"/>
      <c r="V162" s="363"/>
      <c r="W162" s="363"/>
      <c r="X162" s="363"/>
      <c r="Y162" s="363"/>
      <c r="Z162" s="363"/>
      <c r="AA162" s="363"/>
      <c r="AB162" s="358"/>
      <c r="AC162" s="358"/>
      <c r="AD162" s="358"/>
      <c r="AE162" s="358"/>
      <c r="AF162" s="358"/>
      <c r="AG162" s="358"/>
      <c r="AH162" s="358"/>
      <c r="AI162" s="358"/>
      <c r="AJ162" s="358"/>
      <c r="AK162" s="358"/>
      <c r="AL162" s="358"/>
      <c r="AM162" s="358"/>
      <c r="AN162" s="358"/>
      <c r="AO162" s="358"/>
      <c r="AP162" s="358"/>
      <c r="AQ162" s="358"/>
      <c r="AR162" s="358"/>
      <c r="AS162" s="358"/>
      <c r="AT162" s="358"/>
      <c r="AU162" s="358"/>
      <c r="AV162" s="358"/>
      <c r="AW162" s="358"/>
      <c r="AX162" s="358"/>
      <c r="AY162" s="358"/>
      <c r="AZ162" s="358"/>
      <c r="BA162" s="358"/>
      <c r="BB162" s="358"/>
      <c r="BC162" s="363"/>
      <c r="BD162" s="363"/>
      <c r="BE162" s="363"/>
      <c r="BF162" s="363"/>
      <c r="BG162" s="363"/>
      <c r="BH162" s="363"/>
      <c r="BI162" s="363"/>
      <c r="BJ162" s="363"/>
      <c r="BK162" s="363"/>
      <c r="BL162" s="363"/>
      <c r="BM162" s="363"/>
      <c r="BN162" s="3493"/>
    </row>
    <row r="163" spans="1:66" ht="14.25" customHeight="1">
      <c r="A163" s="1784"/>
      <c r="B163" s="1923" t="s">
        <v>275</v>
      </c>
      <c r="C163" s="1906">
        <v>370</v>
      </c>
      <c r="D163" s="1907">
        <v>1</v>
      </c>
      <c r="E163" s="1924">
        <v>16</v>
      </c>
      <c r="F163" s="1926"/>
      <c r="G163" s="1785"/>
      <c r="H163" s="1783"/>
      <c r="I163" s="363"/>
      <c r="J163" s="363"/>
      <c r="K163" s="363"/>
      <c r="L163" s="363"/>
      <c r="M163" s="363"/>
      <c r="N163" s="363"/>
      <c r="O163" s="363"/>
      <c r="P163" s="363"/>
      <c r="Q163" s="363"/>
      <c r="R163" s="363"/>
      <c r="S163" s="363"/>
      <c r="T163" s="363"/>
      <c r="U163" s="363"/>
      <c r="V163" s="363"/>
      <c r="W163" s="363"/>
      <c r="X163" s="363"/>
      <c r="Y163" s="363"/>
      <c r="Z163" s="363"/>
      <c r="AA163" s="363"/>
      <c r="AB163" s="358"/>
      <c r="AC163" s="358"/>
      <c r="AD163" s="358"/>
      <c r="AE163" s="358"/>
      <c r="AF163" s="358"/>
      <c r="AG163" s="358"/>
      <c r="AH163" s="358"/>
      <c r="AI163" s="358"/>
      <c r="AJ163" s="358"/>
      <c r="AK163" s="358"/>
      <c r="AL163" s="358"/>
      <c r="AM163" s="358"/>
      <c r="AN163" s="358"/>
      <c r="AO163" s="358"/>
      <c r="AP163" s="358"/>
      <c r="AQ163" s="358"/>
      <c r="AR163" s="358"/>
      <c r="AS163" s="358"/>
      <c r="AT163" s="358"/>
      <c r="AU163" s="358"/>
      <c r="AV163" s="358"/>
      <c r="AW163" s="358"/>
      <c r="AX163" s="358"/>
      <c r="AY163" s="358"/>
      <c r="AZ163" s="358"/>
      <c r="BA163" s="358"/>
      <c r="BB163" s="358"/>
      <c r="BC163" s="363"/>
      <c r="BD163" s="363"/>
      <c r="BE163" s="363"/>
      <c r="BF163" s="363"/>
      <c r="BG163" s="363"/>
      <c r="BH163" s="363"/>
      <c r="BI163" s="363"/>
      <c r="BJ163" s="363"/>
      <c r="BK163" s="363"/>
      <c r="BL163" s="363"/>
      <c r="BM163" s="363"/>
      <c r="BN163" s="3493"/>
    </row>
    <row r="164" spans="1:66" ht="14.25" customHeight="1">
      <c r="A164" s="1784"/>
      <c r="B164" s="1927" t="s">
        <v>276</v>
      </c>
      <c r="C164" s="1928">
        <v>370</v>
      </c>
      <c r="D164" s="1929">
        <v>1</v>
      </c>
      <c r="E164" s="1930">
        <v>45</v>
      </c>
      <c r="F164" s="1926"/>
      <c r="G164" s="1785"/>
      <c r="H164" s="1783"/>
      <c r="I164" s="363"/>
      <c r="J164" s="363"/>
      <c r="K164" s="363"/>
      <c r="L164" s="363"/>
      <c r="M164" s="363"/>
      <c r="N164" s="363"/>
      <c r="O164" s="363"/>
      <c r="P164" s="363"/>
      <c r="Q164" s="363"/>
      <c r="R164" s="363"/>
      <c r="S164" s="363"/>
      <c r="T164" s="363"/>
      <c r="U164" s="363"/>
      <c r="V164" s="363"/>
      <c r="W164" s="363"/>
      <c r="X164" s="363"/>
      <c r="Y164" s="363"/>
      <c r="Z164" s="363"/>
      <c r="AA164" s="363"/>
      <c r="AB164" s="358"/>
      <c r="AC164" s="358"/>
      <c r="AD164" s="358"/>
      <c r="AE164" s="358"/>
      <c r="AF164" s="358"/>
      <c r="AG164" s="358"/>
      <c r="AH164" s="358"/>
      <c r="AI164" s="358"/>
      <c r="AJ164" s="358"/>
      <c r="AK164" s="358"/>
      <c r="AL164" s="358"/>
      <c r="AM164" s="358"/>
      <c r="AN164" s="358"/>
      <c r="AO164" s="358"/>
      <c r="AP164" s="358"/>
      <c r="AQ164" s="358"/>
      <c r="AR164" s="358"/>
      <c r="AS164" s="358"/>
      <c r="AT164" s="358"/>
      <c r="AU164" s="358"/>
      <c r="AV164" s="358"/>
      <c r="AW164" s="358"/>
      <c r="AX164" s="358"/>
      <c r="AY164" s="358"/>
      <c r="AZ164" s="358"/>
      <c r="BA164" s="358"/>
      <c r="BB164" s="358"/>
      <c r="BC164" s="363"/>
      <c r="BD164" s="363"/>
      <c r="BE164" s="363"/>
      <c r="BF164" s="363"/>
      <c r="BG164" s="363"/>
      <c r="BH164" s="363"/>
      <c r="BI164" s="363"/>
      <c r="BJ164" s="363"/>
      <c r="BK164" s="363"/>
      <c r="BL164" s="363"/>
      <c r="BM164" s="363"/>
      <c r="BN164" s="3493"/>
    </row>
    <row r="165" spans="1:66" ht="14.25" customHeight="1">
      <c r="A165" s="1786"/>
      <c r="B165" s="1931" t="s">
        <v>277</v>
      </c>
      <c r="C165" s="1928">
        <v>370</v>
      </c>
      <c r="D165" s="1929">
        <v>1</v>
      </c>
      <c r="E165" s="1930">
        <v>90</v>
      </c>
      <c r="F165" s="1932"/>
      <c r="G165" s="1785"/>
      <c r="H165" s="1783"/>
      <c r="I165" s="363"/>
      <c r="J165" s="363"/>
      <c r="K165" s="363"/>
      <c r="L165" s="363"/>
      <c r="M165" s="363"/>
      <c r="N165" s="363"/>
      <c r="O165" s="363"/>
      <c r="P165" s="363"/>
      <c r="Q165" s="363"/>
      <c r="R165" s="363"/>
      <c r="S165" s="363"/>
      <c r="T165" s="363"/>
      <c r="U165" s="363"/>
      <c r="V165" s="363"/>
      <c r="W165" s="363"/>
      <c r="X165" s="363"/>
      <c r="Y165" s="363"/>
      <c r="Z165" s="363"/>
      <c r="AA165" s="363"/>
      <c r="AB165" s="358"/>
      <c r="AC165" s="358"/>
      <c r="AD165" s="358"/>
      <c r="AE165" s="358"/>
      <c r="AF165" s="358"/>
      <c r="AG165" s="358"/>
      <c r="AH165" s="358"/>
      <c r="AI165" s="358"/>
      <c r="AJ165" s="358"/>
      <c r="AK165" s="358"/>
      <c r="AL165" s="358"/>
      <c r="AM165" s="358"/>
      <c r="AN165" s="358"/>
      <c r="AO165" s="358"/>
      <c r="AP165" s="358"/>
      <c r="AQ165" s="358"/>
      <c r="AR165" s="358"/>
      <c r="AS165" s="358"/>
      <c r="AT165" s="358"/>
      <c r="AU165" s="358"/>
      <c r="AV165" s="358"/>
      <c r="AW165" s="358"/>
      <c r="AX165" s="358"/>
      <c r="AY165" s="358"/>
      <c r="AZ165" s="358"/>
      <c r="BA165" s="358"/>
      <c r="BB165" s="358"/>
      <c r="BC165" s="363"/>
      <c r="BD165" s="363"/>
      <c r="BE165" s="363"/>
      <c r="BF165" s="363"/>
      <c r="BG165" s="363"/>
      <c r="BH165" s="363"/>
      <c r="BI165" s="363"/>
      <c r="BJ165" s="363"/>
      <c r="BK165" s="363"/>
      <c r="BL165" s="363"/>
      <c r="BM165" s="363"/>
      <c r="BN165" s="3493"/>
    </row>
    <row r="166" spans="1:66" ht="14.25" customHeight="1">
      <c r="A166" s="79"/>
      <c r="B166" s="1933" t="s">
        <v>1813</v>
      </c>
      <c r="C166" s="1906">
        <v>360</v>
      </c>
      <c r="D166" s="1907">
        <v>0.95</v>
      </c>
      <c r="E166" s="1924"/>
      <c r="F166" s="1932"/>
      <c r="G166" s="1785"/>
      <c r="H166" s="1783"/>
      <c r="I166" s="363"/>
      <c r="J166" s="363"/>
      <c r="K166" s="363"/>
      <c r="L166" s="363"/>
      <c r="M166" s="363"/>
      <c r="N166" s="363"/>
      <c r="O166" s="363"/>
      <c r="P166" s="363"/>
      <c r="Q166" s="363"/>
      <c r="R166" s="363"/>
      <c r="S166" s="363"/>
      <c r="T166" s="363"/>
      <c r="U166" s="363"/>
      <c r="V166" s="363"/>
      <c r="W166" s="363"/>
      <c r="X166" s="363"/>
      <c r="Y166" s="363"/>
      <c r="Z166" s="363"/>
      <c r="AA166" s="363"/>
      <c r="AB166" s="358"/>
      <c r="AC166" s="358"/>
      <c r="AD166" s="358"/>
      <c r="AE166" s="358"/>
      <c r="AF166" s="358"/>
      <c r="AG166" s="358"/>
      <c r="AH166" s="358"/>
      <c r="AI166" s="358"/>
      <c r="AJ166" s="358"/>
      <c r="AK166" s="358"/>
      <c r="AL166" s="358"/>
      <c r="AM166" s="358"/>
      <c r="AN166" s="358"/>
      <c r="AO166" s="358"/>
      <c r="AP166" s="358"/>
      <c r="AQ166" s="358"/>
      <c r="AR166" s="358"/>
      <c r="AS166" s="358"/>
      <c r="AT166" s="358"/>
      <c r="AU166" s="358"/>
      <c r="AV166" s="358"/>
      <c r="AW166" s="358"/>
      <c r="AX166" s="358"/>
      <c r="AY166" s="358"/>
      <c r="AZ166" s="358"/>
      <c r="BA166" s="358"/>
      <c r="BB166" s="358"/>
      <c r="BC166" s="363"/>
      <c r="BD166" s="363"/>
      <c r="BE166" s="363"/>
      <c r="BF166" s="363"/>
      <c r="BG166" s="363"/>
      <c r="BH166" s="363"/>
      <c r="BI166" s="363"/>
      <c r="BJ166" s="363"/>
      <c r="BK166" s="363"/>
      <c r="BL166" s="363"/>
      <c r="BM166" s="363"/>
      <c r="BN166" s="3493"/>
    </row>
    <row r="167" spans="1:66" ht="14.25" customHeight="1">
      <c r="A167" s="79"/>
      <c r="B167" s="1934" t="s">
        <v>279</v>
      </c>
      <c r="C167" s="1906">
        <f>0.8*375</f>
        <v>300</v>
      </c>
      <c r="D167" s="1907">
        <v>0.95</v>
      </c>
      <c r="E167" s="1935">
        <v>10</v>
      </c>
      <c r="F167" s="1932"/>
      <c r="G167" s="1785"/>
      <c r="H167" s="1783"/>
      <c r="I167" s="363"/>
      <c r="J167" s="363"/>
      <c r="K167" s="363"/>
      <c r="L167" s="363"/>
      <c r="M167" s="363"/>
      <c r="N167" s="363"/>
      <c r="O167" s="363"/>
      <c r="P167" s="363"/>
      <c r="Q167" s="363"/>
      <c r="R167" s="363"/>
      <c r="S167" s="363"/>
      <c r="T167" s="363"/>
      <c r="U167" s="363"/>
      <c r="V167" s="363"/>
      <c r="W167" s="363"/>
      <c r="X167" s="363"/>
      <c r="Y167" s="363"/>
      <c r="Z167" s="363"/>
      <c r="AA167" s="363"/>
      <c r="AB167" s="358"/>
      <c r="AC167" s="358"/>
      <c r="AD167" s="358"/>
      <c r="AE167" s="358"/>
      <c r="AF167" s="358"/>
      <c r="AG167" s="358"/>
      <c r="AH167" s="358"/>
      <c r="AI167" s="358"/>
      <c r="AJ167" s="358"/>
      <c r="AK167" s="358"/>
      <c r="AL167" s="358"/>
      <c r="AM167" s="358"/>
      <c r="AN167" s="358"/>
      <c r="AO167" s="358"/>
      <c r="AP167" s="358"/>
      <c r="AQ167" s="358"/>
      <c r="AR167" s="358"/>
      <c r="AS167" s="358"/>
      <c r="AT167" s="358"/>
      <c r="AU167" s="358"/>
      <c r="AV167" s="358"/>
      <c r="AW167" s="358"/>
      <c r="AX167" s="358"/>
      <c r="AY167" s="358"/>
      <c r="AZ167" s="358"/>
      <c r="BA167" s="358"/>
      <c r="BB167" s="358"/>
      <c r="BC167" s="363"/>
      <c r="BD167" s="363"/>
      <c r="BE167" s="363"/>
      <c r="BF167" s="363"/>
      <c r="BG167" s="363"/>
      <c r="BH167" s="363"/>
      <c r="BI167" s="363"/>
      <c r="BJ167" s="363"/>
      <c r="BK167" s="363"/>
      <c r="BL167" s="363"/>
      <c r="BM167" s="363"/>
      <c r="BN167" s="3493"/>
    </row>
    <row r="168" spans="1:66" ht="14.25" customHeight="1">
      <c r="A168" s="79"/>
      <c r="B168" s="1931" t="s">
        <v>280</v>
      </c>
      <c r="C168" s="1928">
        <v>373</v>
      </c>
      <c r="D168" s="1929">
        <v>1</v>
      </c>
      <c r="E168" s="1936"/>
      <c r="F168" s="1937" t="s">
        <v>281</v>
      </c>
      <c r="G168" s="1785"/>
      <c r="H168" s="1787" t="s">
        <v>282</v>
      </c>
      <c r="I168" s="363"/>
      <c r="J168" s="363"/>
      <c r="K168" s="363"/>
      <c r="L168" s="363"/>
      <c r="M168" s="363"/>
      <c r="N168" s="363"/>
      <c r="O168" s="363"/>
      <c r="P168" s="363"/>
      <c r="Q168" s="363"/>
      <c r="R168" s="363"/>
      <c r="S168" s="363"/>
      <c r="T168" s="363"/>
      <c r="U168" s="363"/>
      <c r="V168" s="363"/>
      <c r="W168" s="363"/>
      <c r="X168" s="363"/>
      <c r="Y168" s="363"/>
      <c r="Z168" s="363"/>
      <c r="AA168" s="363"/>
      <c r="AB168" s="358"/>
      <c r="AC168" s="358"/>
      <c r="AD168" s="358"/>
      <c r="AE168" s="358"/>
      <c r="AF168" s="358"/>
      <c r="AG168" s="358"/>
      <c r="AH168" s="358"/>
      <c r="AI168" s="358"/>
      <c r="AJ168" s="358"/>
      <c r="AK168" s="358"/>
      <c r="AL168" s="358"/>
      <c r="AM168" s="358"/>
      <c r="AN168" s="358"/>
      <c r="AO168" s="358"/>
      <c r="AP168" s="358"/>
      <c r="AQ168" s="358"/>
      <c r="AR168" s="358"/>
      <c r="AS168" s="358"/>
      <c r="AT168" s="358"/>
      <c r="AU168" s="358"/>
      <c r="AV168" s="358"/>
      <c r="AW168" s="358"/>
      <c r="AX168" s="358"/>
      <c r="AY168" s="358"/>
      <c r="AZ168" s="358"/>
      <c r="BA168" s="358"/>
      <c r="BB168" s="358"/>
      <c r="BC168" s="363"/>
      <c r="BD168" s="363"/>
      <c r="BE168" s="363"/>
      <c r="BF168" s="363"/>
      <c r="BG168" s="363"/>
      <c r="BH168" s="363"/>
      <c r="BI168" s="363"/>
      <c r="BJ168" s="363"/>
      <c r="BK168" s="363"/>
      <c r="BL168" s="363"/>
      <c r="BM168" s="363"/>
      <c r="BN168" s="3493"/>
    </row>
    <row r="169" spans="1:66" ht="14.25" customHeight="1">
      <c r="A169" s="79"/>
      <c r="B169" s="1931" t="s">
        <v>283</v>
      </c>
      <c r="C169" s="1928">
        <v>373</v>
      </c>
      <c r="D169" s="1929">
        <v>1</v>
      </c>
      <c r="E169" s="1936">
        <v>13</v>
      </c>
      <c r="F169" s="1937" t="s">
        <v>281</v>
      </c>
      <c r="G169" s="1785"/>
      <c r="H169" s="3528" t="s">
        <v>1847</v>
      </c>
      <c r="I169" s="363"/>
      <c r="J169" s="363"/>
      <c r="K169" s="363"/>
      <c r="L169" s="363"/>
      <c r="M169" s="363"/>
      <c r="N169" s="363"/>
      <c r="O169" s="363"/>
      <c r="P169" s="363"/>
      <c r="Q169" s="363"/>
      <c r="R169" s="363"/>
      <c r="S169" s="363"/>
      <c r="T169" s="363"/>
      <c r="U169" s="363"/>
      <c r="V169" s="363"/>
      <c r="W169" s="363"/>
      <c r="X169" s="363"/>
      <c r="Y169" s="363"/>
      <c r="Z169" s="363"/>
      <c r="AA169" s="363"/>
      <c r="AB169" s="358"/>
      <c r="AC169" s="358"/>
      <c r="AD169" s="358"/>
      <c r="AE169" s="358"/>
      <c r="AF169" s="358"/>
      <c r="AG169" s="358"/>
      <c r="AH169" s="358"/>
      <c r="AI169" s="358"/>
      <c r="AJ169" s="358"/>
      <c r="AK169" s="358"/>
      <c r="AL169" s="358"/>
      <c r="AM169" s="358"/>
      <c r="AN169" s="358"/>
      <c r="AO169" s="358"/>
      <c r="AP169" s="358"/>
      <c r="AQ169" s="358"/>
      <c r="AR169" s="358"/>
      <c r="AS169" s="358"/>
      <c r="AT169" s="358"/>
      <c r="AU169" s="358"/>
      <c r="AV169" s="358"/>
      <c r="AW169" s="358"/>
      <c r="AX169" s="358"/>
      <c r="AY169" s="358"/>
      <c r="AZ169" s="358"/>
      <c r="BA169" s="358"/>
      <c r="BB169" s="358"/>
      <c r="BC169" s="363"/>
      <c r="BD169" s="363"/>
      <c r="BE169" s="363"/>
      <c r="BF169" s="363"/>
      <c r="BG169" s="363"/>
      <c r="BH169" s="363"/>
      <c r="BI169" s="363"/>
      <c r="BJ169" s="363"/>
      <c r="BK169" s="363"/>
      <c r="BL169" s="363"/>
      <c r="BM169" s="363"/>
      <c r="BN169" s="3493"/>
    </row>
    <row r="170" spans="1:66" ht="14.25" customHeight="1">
      <c r="A170" s="79"/>
      <c r="B170" s="1931" t="s">
        <v>284</v>
      </c>
      <c r="C170" s="1928">
        <v>373</v>
      </c>
      <c r="D170" s="1929">
        <v>1</v>
      </c>
      <c r="E170" s="1936">
        <v>43</v>
      </c>
      <c r="F170" s="1937" t="s">
        <v>281</v>
      </c>
      <c r="G170" s="1785"/>
      <c r="H170" s="1783"/>
      <c r="I170" s="363"/>
      <c r="J170" s="363"/>
      <c r="K170" s="363"/>
      <c r="L170" s="363"/>
      <c r="M170" s="363"/>
      <c r="N170" s="363"/>
      <c r="O170" s="363"/>
      <c r="P170" s="363"/>
      <c r="Q170" s="363"/>
      <c r="R170" s="363"/>
      <c r="S170" s="363"/>
      <c r="T170" s="363"/>
      <c r="U170" s="363"/>
      <c r="V170" s="363"/>
      <c r="W170" s="363"/>
      <c r="X170" s="363"/>
      <c r="Y170" s="363"/>
      <c r="Z170" s="363"/>
      <c r="AA170" s="363"/>
      <c r="AB170" s="358"/>
      <c r="AC170" s="358"/>
      <c r="AD170" s="358"/>
      <c r="AE170" s="358"/>
      <c r="AF170" s="358"/>
      <c r="AG170" s="358"/>
      <c r="AH170" s="358"/>
      <c r="AI170" s="358"/>
      <c r="AJ170" s="358"/>
      <c r="AK170" s="358"/>
      <c r="AL170" s="358"/>
      <c r="AM170" s="358"/>
      <c r="AN170" s="358"/>
      <c r="AO170" s="358"/>
      <c r="AP170" s="358"/>
      <c r="AQ170" s="358"/>
      <c r="AR170" s="358"/>
      <c r="AS170" s="358"/>
      <c r="AT170" s="358"/>
      <c r="AU170" s="358"/>
      <c r="AV170" s="358"/>
      <c r="AW170" s="358"/>
      <c r="AX170" s="358"/>
      <c r="AY170" s="358"/>
      <c r="AZ170" s="358"/>
      <c r="BA170" s="358"/>
      <c r="BB170" s="358"/>
      <c r="BC170" s="363"/>
      <c r="BD170" s="363"/>
      <c r="BE170" s="363"/>
      <c r="BF170" s="363"/>
      <c r="BG170" s="363"/>
      <c r="BH170" s="363"/>
      <c r="BI170" s="363"/>
      <c r="BJ170" s="363"/>
      <c r="BK170" s="363"/>
      <c r="BL170" s="363"/>
      <c r="BM170" s="363"/>
      <c r="BN170" s="3493"/>
    </row>
    <row r="171" spans="1:66" ht="14.25" customHeight="1">
      <c r="A171" s="79"/>
      <c r="B171" s="1931" t="s">
        <v>285</v>
      </c>
      <c r="C171" s="1928">
        <v>300</v>
      </c>
      <c r="D171" s="1929">
        <v>1</v>
      </c>
      <c r="E171" s="1936">
        <v>2</v>
      </c>
      <c r="F171" s="1937" t="s">
        <v>286</v>
      </c>
      <c r="G171" s="1785"/>
      <c r="H171" s="1783"/>
      <c r="I171" s="363"/>
      <c r="J171" s="363"/>
      <c r="K171" s="363"/>
      <c r="L171" s="363"/>
      <c r="M171" s="363"/>
      <c r="N171" s="363"/>
      <c r="O171" s="363"/>
      <c r="P171" s="363"/>
      <c r="Q171" s="363"/>
      <c r="R171" s="363"/>
      <c r="S171" s="363"/>
      <c r="T171" s="363"/>
      <c r="U171" s="363"/>
      <c r="V171" s="363"/>
      <c r="W171" s="363"/>
      <c r="X171" s="363"/>
      <c r="Y171" s="363"/>
      <c r="Z171" s="363"/>
      <c r="AA171" s="363"/>
      <c r="AB171" s="358"/>
      <c r="AC171" s="358"/>
      <c r="AD171" s="358"/>
      <c r="AE171" s="358"/>
      <c r="AF171" s="358"/>
      <c r="AG171" s="358"/>
      <c r="AH171" s="358"/>
      <c r="AI171" s="358"/>
      <c r="AJ171" s="358"/>
      <c r="AK171" s="358"/>
      <c r="AL171" s="358"/>
      <c r="AM171" s="358"/>
      <c r="AN171" s="358"/>
      <c r="AO171" s="358"/>
      <c r="AP171" s="358"/>
      <c r="AQ171" s="358"/>
      <c r="AR171" s="358"/>
      <c r="AS171" s="358"/>
      <c r="AT171" s="358"/>
      <c r="AU171" s="358"/>
      <c r="AV171" s="358"/>
      <c r="AW171" s="358"/>
      <c r="AX171" s="358"/>
      <c r="AY171" s="358"/>
      <c r="AZ171" s="358"/>
      <c r="BA171" s="358"/>
      <c r="BB171" s="358"/>
      <c r="BC171" s="363"/>
      <c r="BD171" s="363"/>
      <c r="BE171" s="363"/>
      <c r="BF171" s="363"/>
      <c r="BG171" s="363"/>
      <c r="BH171" s="363"/>
      <c r="BI171" s="363"/>
      <c r="BJ171" s="363"/>
      <c r="BK171" s="363"/>
      <c r="BL171" s="363"/>
      <c r="BM171" s="363"/>
      <c r="BN171" s="3493"/>
    </row>
    <row r="172" spans="1:66" ht="14.25" customHeight="1">
      <c r="A172" s="79"/>
      <c r="B172" s="1931" t="s">
        <v>287</v>
      </c>
      <c r="C172" s="1928">
        <v>300</v>
      </c>
      <c r="D172" s="1929">
        <v>1</v>
      </c>
      <c r="E172" s="1936">
        <v>89</v>
      </c>
      <c r="F172" s="1937" t="s">
        <v>286</v>
      </c>
      <c r="G172" s="1785"/>
      <c r="H172" s="1783"/>
      <c r="I172" s="363"/>
      <c r="J172" s="363"/>
      <c r="K172" s="363"/>
      <c r="L172" s="363"/>
      <c r="M172" s="363"/>
      <c r="N172" s="363"/>
      <c r="O172" s="363"/>
      <c r="P172" s="363"/>
      <c r="Q172" s="363"/>
      <c r="R172" s="363"/>
      <c r="S172" s="363"/>
      <c r="T172" s="363"/>
      <c r="U172" s="363"/>
      <c r="V172" s="363"/>
      <c r="W172" s="363"/>
      <c r="X172" s="363"/>
      <c r="Y172" s="363"/>
      <c r="Z172" s="363"/>
      <c r="AA172" s="363"/>
      <c r="AB172" s="358"/>
      <c r="AC172" s="358"/>
      <c r="AD172" s="358"/>
      <c r="AE172" s="358"/>
      <c r="AF172" s="358"/>
      <c r="AG172" s="358"/>
      <c r="AH172" s="358"/>
      <c r="AI172" s="358"/>
      <c r="AJ172" s="358"/>
      <c r="AK172" s="358"/>
      <c r="AL172" s="358"/>
      <c r="AM172" s="358"/>
      <c r="AN172" s="358"/>
      <c r="AO172" s="358"/>
      <c r="AP172" s="358"/>
      <c r="AQ172" s="358"/>
      <c r="AR172" s="358"/>
      <c r="AS172" s="358"/>
      <c r="AT172" s="358"/>
      <c r="AU172" s="358"/>
      <c r="AV172" s="358"/>
      <c r="AW172" s="358"/>
      <c r="AX172" s="358"/>
      <c r="AY172" s="358"/>
      <c r="AZ172" s="358"/>
      <c r="BA172" s="358"/>
      <c r="BB172" s="358"/>
      <c r="BC172" s="363"/>
      <c r="BD172" s="363"/>
      <c r="BE172" s="363"/>
      <c r="BF172" s="363"/>
      <c r="BG172" s="363"/>
      <c r="BH172" s="363"/>
      <c r="BI172" s="363"/>
      <c r="BJ172" s="363"/>
      <c r="BK172" s="363"/>
      <c r="BL172" s="363"/>
      <c r="BM172" s="363"/>
      <c r="BN172" s="3493"/>
    </row>
    <row r="173" spans="1:66" ht="14.25" customHeight="1">
      <c r="A173" s="79"/>
      <c r="B173" s="1931" t="s">
        <v>288</v>
      </c>
      <c r="C173" s="1928">
        <v>300</v>
      </c>
      <c r="D173" s="1929">
        <v>1</v>
      </c>
      <c r="E173" s="1936">
        <v>178</v>
      </c>
      <c r="F173" s="1937" t="s">
        <v>286</v>
      </c>
      <c r="G173" s="1785"/>
      <c r="H173" s="1783"/>
      <c r="I173" s="363"/>
      <c r="J173" s="363"/>
      <c r="K173" s="363"/>
      <c r="L173" s="363"/>
      <c r="M173" s="363"/>
      <c r="N173" s="363"/>
      <c r="O173" s="363"/>
      <c r="P173" s="363"/>
      <c r="Q173" s="363"/>
      <c r="R173" s="363"/>
      <c r="S173" s="363"/>
      <c r="T173" s="363"/>
      <c r="U173" s="363"/>
      <c r="V173" s="363"/>
      <c r="W173" s="363"/>
      <c r="X173" s="363"/>
      <c r="Y173" s="363"/>
      <c r="Z173" s="363"/>
      <c r="AA173" s="363"/>
      <c r="AB173" s="358"/>
      <c r="AC173" s="358"/>
      <c r="AD173" s="358"/>
      <c r="AE173" s="358"/>
      <c r="AF173" s="358"/>
      <c r="AG173" s="358"/>
      <c r="AH173" s="358"/>
      <c r="AI173" s="358"/>
      <c r="AJ173" s="358"/>
      <c r="AK173" s="358"/>
      <c r="AL173" s="358"/>
      <c r="AM173" s="358"/>
      <c r="AN173" s="358"/>
      <c r="AO173" s="358"/>
      <c r="AP173" s="358"/>
      <c r="AQ173" s="358"/>
      <c r="AR173" s="358"/>
      <c r="AS173" s="358"/>
      <c r="AT173" s="358"/>
      <c r="AU173" s="358"/>
      <c r="AV173" s="358"/>
      <c r="AW173" s="358"/>
      <c r="AX173" s="358"/>
      <c r="AY173" s="358"/>
      <c r="AZ173" s="358"/>
      <c r="BA173" s="358"/>
      <c r="BB173" s="358"/>
      <c r="BC173" s="363"/>
      <c r="BD173" s="363"/>
      <c r="BE173" s="363"/>
      <c r="BF173" s="363"/>
      <c r="BG173" s="363"/>
      <c r="BH173" s="363"/>
      <c r="BI173" s="363"/>
      <c r="BJ173" s="363"/>
      <c r="BK173" s="363"/>
      <c r="BL173" s="363"/>
      <c r="BM173" s="363"/>
      <c r="BN173" s="3493"/>
    </row>
    <row r="174" spans="1:66" ht="14.25" customHeight="1">
      <c r="A174" s="79"/>
      <c r="B174" s="1931" t="s">
        <v>289</v>
      </c>
      <c r="C174" s="1928"/>
      <c r="D174" s="1929"/>
      <c r="E174" s="1936"/>
      <c r="F174" s="1937"/>
      <c r="G174" s="1785"/>
      <c r="H174" s="1788"/>
      <c r="I174" s="363"/>
      <c r="J174" s="363"/>
      <c r="K174" s="363"/>
      <c r="L174" s="363"/>
      <c r="M174" s="363"/>
      <c r="N174" s="363"/>
      <c r="O174" s="363"/>
      <c r="P174" s="363"/>
      <c r="Q174" s="363"/>
      <c r="R174" s="363"/>
      <c r="S174" s="363"/>
      <c r="T174" s="363"/>
      <c r="U174" s="363"/>
      <c r="V174" s="363"/>
      <c r="W174" s="363"/>
      <c r="X174" s="363"/>
      <c r="Y174" s="363"/>
      <c r="Z174" s="363"/>
      <c r="AA174" s="363"/>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63"/>
      <c r="BD174" s="363"/>
      <c r="BE174" s="363"/>
      <c r="BF174" s="363"/>
      <c r="BG174" s="363"/>
      <c r="BH174" s="363"/>
      <c r="BI174" s="363"/>
      <c r="BJ174" s="363"/>
      <c r="BK174" s="363"/>
      <c r="BL174" s="363"/>
      <c r="BM174" s="363"/>
      <c r="BN174" s="3493"/>
    </row>
    <row r="175" spans="1:66" ht="14.25" customHeight="1">
      <c r="A175" s="79"/>
      <c r="B175" s="80" t="s">
        <v>290</v>
      </c>
      <c r="C175" s="81">
        <v>380</v>
      </c>
      <c r="D175" s="82">
        <v>0</v>
      </c>
      <c r="E175" s="83">
        <v>30</v>
      </c>
      <c r="F175" s="4593" t="s">
        <v>291</v>
      </c>
      <c r="G175" s="4594"/>
      <c r="H175" s="84"/>
      <c r="I175" s="363"/>
      <c r="J175" s="363"/>
      <c r="K175" s="363"/>
      <c r="L175" s="363"/>
      <c r="M175" s="363"/>
      <c r="N175" s="363"/>
      <c r="O175" s="363"/>
      <c r="P175" s="363"/>
      <c r="Q175" s="363"/>
      <c r="R175" s="363"/>
      <c r="S175" s="363"/>
      <c r="T175" s="363"/>
      <c r="U175" s="363"/>
      <c r="V175" s="363"/>
      <c r="W175" s="363"/>
      <c r="X175" s="363"/>
      <c r="Y175" s="363"/>
      <c r="Z175" s="363"/>
      <c r="AA175" s="363"/>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63"/>
      <c r="BD175" s="363"/>
      <c r="BE175" s="363"/>
      <c r="BF175" s="363"/>
      <c r="BG175" s="363"/>
      <c r="BH175" s="363"/>
      <c r="BI175" s="363"/>
      <c r="BJ175" s="363"/>
      <c r="BK175" s="363"/>
      <c r="BL175" s="363"/>
      <c r="BM175" s="363"/>
      <c r="BN175" s="3493"/>
    </row>
    <row r="176" spans="1:66" ht="14.25" customHeight="1">
      <c r="A176" s="85"/>
      <c r="B176" s="86"/>
      <c r="C176" s="86"/>
      <c r="D176" s="86"/>
      <c r="E176" s="86"/>
      <c r="F176" s="86"/>
      <c r="G176" s="87"/>
      <c r="H176" s="88"/>
      <c r="I176" s="363"/>
      <c r="J176" s="363"/>
      <c r="K176" s="363"/>
      <c r="L176" s="363"/>
      <c r="M176" s="363"/>
      <c r="N176" s="363"/>
      <c r="O176" s="363"/>
      <c r="P176" s="363"/>
      <c r="Q176" s="363"/>
      <c r="R176" s="363"/>
      <c r="S176" s="363"/>
      <c r="T176" s="363"/>
      <c r="U176" s="363"/>
      <c r="V176" s="363"/>
      <c r="W176" s="363"/>
      <c r="X176" s="363"/>
      <c r="Y176" s="363"/>
      <c r="Z176" s="363"/>
      <c r="AA176" s="363"/>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63"/>
      <c r="BD176" s="363"/>
      <c r="BE176" s="363"/>
      <c r="BF176" s="363"/>
      <c r="BG176" s="363"/>
      <c r="BH176" s="363"/>
      <c r="BI176" s="363"/>
      <c r="BJ176" s="363"/>
      <c r="BK176" s="363"/>
      <c r="BL176" s="363"/>
      <c r="BM176" s="363"/>
      <c r="BN176" s="3493"/>
    </row>
    <row r="177" spans="1:66" ht="14.25" customHeight="1">
      <c r="A177" s="89"/>
      <c r="B177" s="89"/>
      <c r="C177" s="89"/>
      <c r="D177" s="89"/>
      <c r="E177" s="89"/>
      <c r="F177" s="89"/>
      <c r="G177" s="416"/>
      <c r="H177" s="416"/>
      <c r="I177" s="363"/>
      <c r="J177" s="363"/>
      <c r="K177" s="363"/>
      <c r="L177" s="363"/>
      <c r="M177" s="363"/>
      <c r="N177" s="363"/>
      <c r="O177" s="363"/>
      <c r="P177" s="363"/>
      <c r="Q177" s="363"/>
      <c r="R177" s="363"/>
      <c r="S177" s="363"/>
      <c r="T177" s="363"/>
      <c r="U177" s="363"/>
      <c r="V177" s="363"/>
      <c r="W177" s="363"/>
      <c r="X177" s="363"/>
      <c r="Y177" s="363"/>
      <c r="Z177" s="363"/>
      <c r="AA177" s="363"/>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63"/>
      <c r="BD177" s="363"/>
      <c r="BE177" s="363"/>
      <c r="BF177" s="363"/>
      <c r="BG177" s="363"/>
      <c r="BH177" s="363"/>
      <c r="BI177" s="363"/>
      <c r="BJ177" s="363"/>
      <c r="BK177" s="363"/>
      <c r="BL177" s="363"/>
      <c r="BM177" s="363"/>
      <c r="BN177" s="3493"/>
    </row>
    <row r="178" spans="1:66" ht="14.25" customHeight="1">
      <c r="A178" s="4595" t="s">
        <v>292</v>
      </c>
      <c r="B178" s="4595"/>
      <c r="C178" s="4595"/>
      <c r="D178" s="4595"/>
      <c r="E178" s="4595"/>
      <c r="F178" s="4595"/>
      <c r="G178" s="4595"/>
      <c r="H178" s="416"/>
      <c r="I178" s="363"/>
      <c r="J178" s="363"/>
      <c r="K178" s="363"/>
      <c r="L178" s="363"/>
      <c r="M178" s="363"/>
      <c r="N178" s="363"/>
      <c r="O178" s="363"/>
      <c r="P178" s="363"/>
      <c r="Q178" s="363"/>
      <c r="R178" s="363"/>
      <c r="S178" s="363"/>
      <c r="T178" s="363"/>
      <c r="U178" s="363"/>
      <c r="V178" s="363"/>
      <c r="W178" s="363"/>
      <c r="X178" s="363"/>
      <c r="Y178" s="363"/>
      <c r="Z178" s="363"/>
      <c r="AA178" s="363"/>
      <c r="AB178" s="358"/>
      <c r="AC178" s="358"/>
      <c r="AD178" s="358"/>
      <c r="AE178" s="358"/>
      <c r="AF178" s="358"/>
      <c r="AG178" s="358"/>
      <c r="AH178" s="358"/>
      <c r="AI178" s="358"/>
      <c r="AJ178" s="358"/>
      <c r="AK178" s="358"/>
      <c r="AL178" s="358"/>
      <c r="AM178" s="358"/>
      <c r="AN178" s="358"/>
      <c r="AO178" s="358"/>
      <c r="AP178" s="358"/>
      <c r="AQ178" s="358"/>
      <c r="AR178" s="358"/>
      <c r="AS178" s="358"/>
      <c r="AT178" s="358"/>
      <c r="AU178" s="358"/>
      <c r="AV178" s="358"/>
      <c r="AW178" s="358"/>
      <c r="AX178" s="358"/>
      <c r="AY178" s="358"/>
      <c r="AZ178" s="358"/>
      <c r="BA178" s="358"/>
      <c r="BB178" s="358"/>
      <c r="BC178" s="363"/>
      <c r="BD178" s="363"/>
      <c r="BE178" s="363"/>
      <c r="BF178" s="363"/>
      <c r="BG178" s="363"/>
      <c r="BH178" s="363"/>
      <c r="BI178" s="363"/>
      <c r="BJ178" s="363"/>
      <c r="BK178" s="363"/>
      <c r="BL178" s="363"/>
      <c r="BM178" s="363"/>
      <c r="BN178" s="3493"/>
    </row>
    <row r="179" spans="1:66" s="412" customFormat="1" ht="14.25" customHeight="1">
      <c r="A179" s="90"/>
      <c r="B179" s="91"/>
      <c r="C179" s="92" t="s">
        <v>41</v>
      </c>
      <c r="D179" s="92" t="s">
        <v>42</v>
      </c>
      <c r="E179" s="92" t="s">
        <v>43</v>
      </c>
      <c r="F179" s="93" t="s">
        <v>293</v>
      </c>
      <c r="G179" s="94"/>
      <c r="H179" s="95"/>
      <c r="I179" s="363"/>
      <c r="J179" s="363"/>
      <c r="K179" s="363"/>
      <c r="L179" s="363"/>
      <c r="M179" s="363"/>
      <c r="N179" s="363"/>
      <c r="O179" s="363"/>
      <c r="P179" s="363"/>
      <c r="Q179" s="363"/>
      <c r="R179" s="363"/>
      <c r="S179" s="363"/>
      <c r="T179" s="363"/>
      <c r="U179" s="363"/>
      <c r="V179" s="363"/>
      <c r="W179" s="363"/>
      <c r="X179" s="363"/>
      <c r="Y179" s="363"/>
      <c r="Z179" s="363"/>
      <c r="AA179" s="363"/>
      <c r="AB179" s="358"/>
      <c r="AC179" s="358"/>
      <c r="AD179" s="358"/>
      <c r="AE179" s="358"/>
      <c r="AF179" s="358"/>
      <c r="AG179" s="358"/>
      <c r="AH179" s="358"/>
      <c r="AI179" s="358"/>
      <c r="AJ179" s="358"/>
      <c r="AK179" s="358"/>
      <c r="AL179" s="358"/>
      <c r="AM179" s="358"/>
      <c r="AN179" s="358"/>
      <c r="AO179" s="358"/>
      <c r="AP179" s="358"/>
      <c r="AQ179" s="358"/>
      <c r="AR179" s="358"/>
      <c r="AS179" s="358"/>
      <c r="AT179" s="358"/>
      <c r="AU179" s="358"/>
      <c r="AV179" s="358"/>
      <c r="AW179" s="358"/>
      <c r="AX179" s="358"/>
      <c r="AY179" s="358"/>
      <c r="AZ179" s="358"/>
      <c r="BA179" s="358"/>
      <c r="BB179" s="358"/>
      <c r="BC179" s="363"/>
      <c r="BD179" s="363"/>
      <c r="BE179" s="363"/>
      <c r="BF179" s="363"/>
      <c r="BG179" s="363"/>
      <c r="BH179" s="363"/>
      <c r="BI179" s="363"/>
      <c r="BJ179" s="363"/>
      <c r="BK179" s="363"/>
      <c r="BL179" s="363"/>
      <c r="BM179" s="363"/>
      <c r="BN179" s="3493"/>
    </row>
    <row r="180" spans="1:66" s="412" customFormat="1" ht="14.25" customHeight="1">
      <c r="A180" s="96"/>
      <c r="B180" s="97"/>
      <c r="C180" s="98" t="s">
        <v>242</v>
      </c>
      <c r="D180" s="98" t="s">
        <v>49</v>
      </c>
      <c r="E180" s="98" t="s">
        <v>256</v>
      </c>
      <c r="F180" s="99"/>
      <c r="G180" s="100"/>
      <c r="H180" s="101"/>
      <c r="I180" s="363"/>
      <c r="J180" s="363"/>
      <c r="K180" s="363"/>
      <c r="L180" s="363"/>
      <c r="M180" s="363"/>
      <c r="N180" s="363"/>
      <c r="O180" s="363"/>
      <c r="P180" s="363"/>
      <c r="Q180" s="363"/>
      <c r="R180" s="363"/>
      <c r="S180" s="363"/>
      <c r="T180" s="363"/>
      <c r="U180" s="363"/>
      <c r="V180" s="363"/>
      <c r="W180" s="363"/>
      <c r="X180" s="363"/>
      <c r="Y180" s="363"/>
      <c r="Z180" s="363"/>
      <c r="AA180" s="363"/>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63"/>
      <c r="BD180" s="363"/>
      <c r="BE180" s="363"/>
      <c r="BF180" s="363"/>
      <c r="BG180" s="363"/>
      <c r="BH180" s="363"/>
      <c r="BI180" s="363"/>
      <c r="BJ180" s="363"/>
      <c r="BK180" s="363"/>
      <c r="BL180" s="363"/>
      <c r="BM180" s="363"/>
      <c r="BN180" s="3493"/>
    </row>
    <row r="181" spans="1:66" s="412" customFormat="1" ht="14.25" customHeight="1">
      <c r="A181" s="4596" t="s">
        <v>103</v>
      </c>
      <c r="B181" s="4597"/>
      <c r="C181" s="102"/>
      <c r="D181" s="102"/>
      <c r="E181" s="102"/>
      <c r="F181" s="102"/>
      <c r="G181" s="100"/>
      <c r="H181" s="101"/>
      <c r="I181" s="363"/>
      <c r="J181" s="363"/>
      <c r="K181" s="363"/>
      <c r="L181" s="363"/>
      <c r="M181" s="363"/>
      <c r="N181" s="363"/>
      <c r="O181" s="363"/>
      <c r="P181" s="363"/>
      <c r="Q181" s="363"/>
      <c r="R181" s="363"/>
      <c r="S181" s="363"/>
      <c r="T181" s="363"/>
      <c r="U181" s="363"/>
      <c r="V181" s="363"/>
      <c r="W181" s="363"/>
      <c r="X181" s="363"/>
      <c r="Y181" s="363"/>
      <c r="Z181" s="363"/>
      <c r="AA181" s="363"/>
      <c r="AB181" s="358"/>
      <c r="AC181" s="358"/>
      <c r="AD181" s="358"/>
      <c r="AE181" s="358"/>
      <c r="AF181" s="358"/>
      <c r="AG181" s="358"/>
      <c r="AH181" s="358"/>
      <c r="AI181" s="358"/>
      <c r="AJ181" s="358"/>
      <c r="AK181" s="358"/>
      <c r="AL181" s="358"/>
      <c r="AM181" s="358"/>
      <c r="AN181" s="358"/>
      <c r="AO181" s="358"/>
      <c r="AP181" s="358"/>
      <c r="AQ181" s="358"/>
      <c r="AR181" s="358"/>
      <c r="AS181" s="358"/>
      <c r="AT181" s="358"/>
      <c r="AU181" s="358"/>
      <c r="AV181" s="358"/>
      <c r="AW181" s="358"/>
      <c r="AX181" s="358"/>
      <c r="AY181" s="358"/>
      <c r="AZ181" s="358"/>
      <c r="BA181" s="358"/>
      <c r="BB181" s="358"/>
      <c r="BC181" s="363"/>
      <c r="BD181" s="363"/>
      <c r="BE181" s="363"/>
      <c r="BF181" s="363"/>
      <c r="BG181" s="363"/>
      <c r="BH181" s="363"/>
      <c r="BI181" s="363"/>
      <c r="BJ181" s="363"/>
      <c r="BK181" s="363"/>
      <c r="BL181" s="363"/>
      <c r="BM181" s="363"/>
      <c r="BN181" s="3493"/>
    </row>
    <row r="182" spans="1:66" s="412" customFormat="1" ht="14.25" customHeight="1">
      <c r="A182" s="1789"/>
      <c r="B182" s="1923" t="s">
        <v>274</v>
      </c>
      <c r="C182" s="1906">
        <v>375</v>
      </c>
      <c r="D182" s="1907">
        <v>1</v>
      </c>
      <c r="E182" s="1924"/>
      <c r="F182" s="1925"/>
      <c r="G182" s="100"/>
      <c r="H182" s="101"/>
      <c r="I182" s="363"/>
      <c r="J182" s="363"/>
      <c r="K182" s="363"/>
      <c r="L182" s="363"/>
      <c r="M182" s="363"/>
      <c r="N182" s="363"/>
      <c r="O182" s="363"/>
      <c r="P182" s="363"/>
      <c r="Q182" s="363"/>
      <c r="R182" s="363"/>
      <c r="S182" s="363"/>
      <c r="T182" s="363"/>
      <c r="U182" s="363"/>
      <c r="V182" s="363"/>
      <c r="W182" s="363"/>
      <c r="X182" s="363"/>
      <c r="Y182" s="363"/>
      <c r="Z182" s="363"/>
      <c r="AA182" s="363"/>
      <c r="AB182" s="358"/>
      <c r="AC182" s="358"/>
      <c r="AD182" s="358"/>
      <c r="AE182" s="358"/>
      <c r="AF182" s="358"/>
      <c r="AG182" s="358"/>
      <c r="AH182" s="358"/>
      <c r="AI182" s="358"/>
      <c r="AJ182" s="358"/>
      <c r="AK182" s="358"/>
      <c r="AL182" s="358"/>
      <c r="AM182" s="358"/>
      <c r="AN182" s="358"/>
      <c r="AO182" s="358"/>
      <c r="AP182" s="358"/>
      <c r="AQ182" s="358"/>
      <c r="AR182" s="358"/>
      <c r="AS182" s="358"/>
      <c r="AT182" s="358"/>
      <c r="AU182" s="358"/>
      <c r="AV182" s="358"/>
      <c r="AW182" s="358"/>
      <c r="AX182" s="358"/>
      <c r="AY182" s="358"/>
      <c r="AZ182" s="358"/>
      <c r="BA182" s="358"/>
      <c r="BB182" s="358"/>
      <c r="BC182" s="363"/>
      <c r="BD182" s="363"/>
      <c r="BE182" s="363"/>
      <c r="BF182" s="363"/>
      <c r="BG182" s="363"/>
      <c r="BH182" s="363"/>
      <c r="BI182" s="363"/>
      <c r="BJ182" s="363"/>
      <c r="BK182" s="363"/>
      <c r="BL182" s="363"/>
      <c r="BM182" s="363"/>
      <c r="BN182" s="3493"/>
    </row>
    <row r="183" spans="1:66" s="412" customFormat="1" ht="14.25" customHeight="1">
      <c r="A183" s="1789"/>
      <c r="B183" s="1923" t="s">
        <v>275</v>
      </c>
      <c r="C183" s="1906">
        <v>370</v>
      </c>
      <c r="D183" s="1907">
        <v>1</v>
      </c>
      <c r="E183" s="1924">
        <v>16</v>
      </c>
      <c r="F183" s="1926"/>
      <c r="G183" s="100"/>
      <c r="H183" s="101"/>
      <c r="I183" s="363"/>
      <c r="J183" s="363"/>
      <c r="K183" s="363"/>
      <c r="L183" s="363"/>
      <c r="M183" s="363"/>
      <c r="N183" s="363"/>
      <c r="O183" s="363"/>
      <c r="P183" s="363"/>
      <c r="Q183" s="363"/>
      <c r="R183" s="363"/>
      <c r="S183" s="363"/>
      <c r="T183" s="363"/>
      <c r="U183" s="363"/>
      <c r="V183" s="363"/>
      <c r="W183" s="363"/>
      <c r="X183" s="363"/>
      <c r="Y183" s="363"/>
      <c r="Z183" s="363"/>
      <c r="AA183" s="363"/>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63"/>
      <c r="BD183" s="363"/>
      <c r="BE183" s="363"/>
      <c r="BF183" s="363"/>
      <c r="BG183" s="363"/>
      <c r="BH183" s="363"/>
      <c r="BI183" s="363"/>
      <c r="BJ183" s="363"/>
      <c r="BK183" s="363"/>
      <c r="BL183" s="363"/>
      <c r="BM183" s="363"/>
      <c r="BN183" s="3493"/>
    </row>
    <row r="184" spans="1:66" s="412" customFormat="1" ht="14.25" customHeight="1">
      <c r="A184" s="1789"/>
      <c r="B184" s="1927" t="s">
        <v>276</v>
      </c>
      <c r="C184" s="1928">
        <v>370</v>
      </c>
      <c r="D184" s="1929">
        <v>1</v>
      </c>
      <c r="E184" s="1930">
        <v>45</v>
      </c>
      <c r="F184" s="1926"/>
      <c r="G184" s="100"/>
      <c r="H184" s="101"/>
      <c r="I184" s="363"/>
      <c r="J184" s="363"/>
      <c r="K184" s="363"/>
      <c r="L184" s="363"/>
      <c r="M184" s="363"/>
      <c r="N184" s="363"/>
      <c r="O184" s="363"/>
      <c r="P184" s="363"/>
      <c r="Q184" s="363"/>
      <c r="R184" s="363"/>
      <c r="S184" s="363"/>
      <c r="T184" s="363"/>
      <c r="U184" s="363"/>
      <c r="V184" s="363"/>
      <c r="W184" s="363"/>
      <c r="X184" s="363"/>
      <c r="Y184" s="363"/>
      <c r="Z184" s="363"/>
      <c r="AA184" s="363"/>
      <c r="AB184" s="358"/>
      <c r="AC184" s="358"/>
      <c r="AD184" s="358"/>
      <c r="AE184" s="358"/>
      <c r="AF184" s="358"/>
      <c r="AG184" s="358"/>
      <c r="AH184" s="358"/>
      <c r="AI184" s="358"/>
      <c r="AJ184" s="358"/>
      <c r="AK184" s="358"/>
      <c r="AL184" s="358"/>
      <c r="AM184" s="358"/>
      <c r="AN184" s="358"/>
      <c r="AO184" s="358"/>
      <c r="AP184" s="358"/>
      <c r="AQ184" s="358"/>
      <c r="AR184" s="358"/>
      <c r="AS184" s="358"/>
      <c r="AT184" s="358"/>
      <c r="AU184" s="358"/>
      <c r="AV184" s="358"/>
      <c r="AW184" s="358"/>
      <c r="AX184" s="358"/>
      <c r="AY184" s="358"/>
      <c r="AZ184" s="358"/>
      <c r="BA184" s="358"/>
      <c r="BB184" s="358"/>
      <c r="BC184" s="363"/>
      <c r="BD184" s="363"/>
      <c r="BE184" s="363"/>
      <c r="BF184" s="363"/>
      <c r="BG184" s="363"/>
      <c r="BH184" s="363"/>
      <c r="BI184" s="363"/>
      <c r="BJ184" s="363"/>
      <c r="BK184" s="363"/>
      <c r="BL184" s="363"/>
      <c r="BM184" s="363"/>
      <c r="BN184" s="3493"/>
    </row>
    <row r="185" spans="1:66" s="412" customFormat="1" ht="14.25" customHeight="1">
      <c r="A185" s="1789"/>
      <c r="B185" s="1931" t="s">
        <v>277</v>
      </c>
      <c r="C185" s="1928">
        <v>370</v>
      </c>
      <c r="D185" s="1929">
        <v>1</v>
      </c>
      <c r="E185" s="1930">
        <v>90</v>
      </c>
      <c r="F185" s="1932"/>
      <c r="G185" s="100"/>
      <c r="H185" s="101"/>
      <c r="I185" s="363"/>
      <c r="J185" s="363"/>
      <c r="K185" s="363"/>
      <c r="L185" s="363"/>
      <c r="M185" s="363"/>
      <c r="N185" s="363"/>
      <c r="O185" s="363"/>
      <c r="P185" s="363"/>
      <c r="Q185" s="363"/>
      <c r="R185" s="363"/>
      <c r="S185" s="363"/>
      <c r="T185" s="363"/>
      <c r="U185" s="363"/>
      <c r="V185" s="363"/>
      <c r="W185" s="363"/>
      <c r="X185" s="363"/>
      <c r="Y185" s="363"/>
      <c r="Z185" s="363"/>
      <c r="AA185" s="363"/>
      <c r="AB185" s="358"/>
      <c r="AC185" s="358"/>
      <c r="AD185" s="358"/>
      <c r="AE185" s="358"/>
      <c r="AF185" s="358"/>
      <c r="AG185" s="358"/>
      <c r="AH185" s="358"/>
      <c r="AI185" s="358"/>
      <c r="AJ185" s="358"/>
      <c r="AK185" s="358"/>
      <c r="AL185" s="358"/>
      <c r="AM185" s="358"/>
      <c r="AN185" s="358"/>
      <c r="AO185" s="358"/>
      <c r="AP185" s="358"/>
      <c r="AQ185" s="358"/>
      <c r="AR185" s="358"/>
      <c r="AS185" s="358"/>
      <c r="AT185" s="358"/>
      <c r="AU185" s="358"/>
      <c r="AV185" s="358"/>
      <c r="AW185" s="358"/>
      <c r="AX185" s="358"/>
      <c r="AY185" s="358"/>
      <c r="AZ185" s="358"/>
      <c r="BA185" s="358"/>
      <c r="BB185" s="358"/>
      <c r="BC185" s="363"/>
      <c r="BD185" s="363"/>
      <c r="BE185" s="363"/>
      <c r="BF185" s="363"/>
      <c r="BG185" s="363"/>
      <c r="BH185" s="363"/>
      <c r="BI185" s="363"/>
      <c r="BJ185" s="363"/>
      <c r="BK185" s="363"/>
      <c r="BL185" s="363"/>
      <c r="BM185" s="363"/>
      <c r="BN185" s="3493"/>
    </row>
    <row r="186" spans="1:66" s="412" customFormat="1" ht="14.25" customHeight="1">
      <c r="A186" s="1789"/>
      <c r="B186" s="1933" t="s">
        <v>1813</v>
      </c>
      <c r="C186" s="1906">
        <v>360</v>
      </c>
      <c r="D186" s="1907">
        <v>0.95</v>
      </c>
      <c r="E186" s="1924"/>
      <c r="F186" s="1932"/>
      <c r="G186" s="100"/>
      <c r="H186" s="101"/>
      <c r="I186" s="363"/>
      <c r="J186" s="363"/>
      <c r="K186" s="363"/>
      <c r="L186" s="363"/>
      <c r="M186" s="363"/>
      <c r="N186" s="363"/>
      <c r="O186" s="363"/>
      <c r="P186" s="363"/>
      <c r="Q186" s="363"/>
      <c r="R186" s="363"/>
      <c r="S186" s="363"/>
      <c r="T186" s="363"/>
      <c r="U186" s="363"/>
      <c r="V186" s="363"/>
      <c r="W186" s="363"/>
      <c r="X186" s="363"/>
      <c r="Y186" s="363"/>
      <c r="Z186" s="363"/>
      <c r="AA186" s="363"/>
      <c r="AB186" s="358"/>
      <c r="AC186" s="358"/>
      <c r="AD186" s="358"/>
      <c r="AE186" s="358"/>
      <c r="AF186" s="358"/>
      <c r="AG186" s="358"/>
      <c r="AH186" s="358"/>
      <c r="AI186" s="358"/>
      <c r="AJ186" s="358"/>
      <c r="AK186" s="358"/>
      <c r="AL186" s="358"/>
      <c r="AM186" s="358"/>
      <c r="AN186" s="358"/>
      <c r="AO186" s="358"/>
      <c r="AP186" s="358"/>
      <c r="AQ186" s="358"/>
      <c r="AR186" s="358"/>
      <c r="AS186" s="358"/>
      <c r="AT186" s="358"/>
      <c r="AU186" s="358"/>
      <c r="AV186" s="358"/>
      <c r="AW186" s="358"/>
      <c r="AX186" s="358"/>
      <c r="AY186" s="358"/>
      <c r="AZ186" s="358"/>
      <c r="BA186" s="358"/>
      <c r="BB186" s="358"/>
      <c r="BC186" s="363"/>
      <c r="BD186" s="363"/>
      <c r="BE186" s="363"/>
      <c r="BF186" s="363"/>
      <c r="BG186" s="363"/>
      <c r="BH186" s="363"/>
      <c r="BI186" s="363"/>
      <c r="BJ186" s="363"/>
      <c r="BK186" s="363"/>
      <c r="BL186" s="363"/>
      <c r="BM186" s="363"/>
      <c r="BN186" s="3493"/>
    </row>
    <row r="187" spans="1:66" s="412" customFormat="1" ht="14.25" customHeight="1">
      <c r="A187" s="1789"/>
      <c r="B187" s="1934" t="s">
        <v>279</v>
      </c>
      <c r="C187" s="1906">
        <f>0.8*375</f>
        <v>300</v>
      </c>
      <c r="D187" s="1907">
        <v>0.95</v>
      </c>
      <c r="E187" s="1935">
        <v>10</v>
      </c>
      <c r="F187" s="1932"/>
      <c r="G187" s="100"/>
      <c r="H187" s="101"/>
      <c r="I187" s="363"/>
      <c r="J187" s="363"/>
      <c r="K187" s="363"/>
      <c r="L187" s="363"/>
      <c r="M187" s="363"/>
      <c r="N187" s="363"/>
      <c r="O187" s="363"/>
      <c r="P187" s="363"/>
      <c r="Q187" s="363"/>
      <c r="R187" s="363"/>
      <c r="S187" s="363"/>
      <c r="T187" s="363"/>
      <c r="U187" s="363"/>
      <c r="V187" s="363"/>
      <c r="W187" s="363"/>
      <c r="X187" s="363"/>
      <c r="Y187" s="363"/>
      <c r="Z187" s="363"/>
      <c r="AA187" s="363"/>
      <c r="AB187" s="358"/>
      <c r="AC187" s="358"/>
      <c r="AD187" s="358"/>
      <c r="AE187" s="358"/>
      <c r="AF187" s="358"/>
      <c r="AG187" s="358"/>
      <c r="AH187" s="358"/>
      <c r="AI187" s="358"/>
      <c r="AJ187" s="358"/>
      <c r="AK187" s="358"/>
      <c r="AL187" s="358"/>
      <c r="AM187" s="358"/>
      <c r="AN187" s="358"/>
      <c r="AO187" s="358"/>
      <c r="AP187" s="358"/>
      <c r="AQ187" s="358"/>
      <c r="AR187" s="358"/>
      <c r="AS187" s="358"/>
      <c r="AT187" s="358"/>
      <c r="AU187" s="358"/>
      <c r="AV187" s="358"/>
      <c r="AW187" s="358"/>
      <c r="AX187" s="358"/>
      <c r="AY187" s="358"/>
      <c r="AZ187" s="358"/>
      <c r="BA187" s="358"/>
      <c r="BB187" s="358"/>
      <c r="BC187" s="363"/>
      <c r="BD187" s="363"/>
      <c r="BE187" s="363"/>
      <c r="BF187" s="363"/>
      <c r="BG187" s="363"/>
      <c r="BH187" s="363"/>
      <c r="BI187" s="363"/>
      <c r="BJ187" s="363"/>
      <c r="BK187" s="363"/>
      <c r="BL187" s="363"/>
      <c r="BM187" s="363"/>
      <c r="BN187" s="3493"/>
    </row>
    <row r="188" spans="1:66" s="412" customFormat="1" ht="14.25" customHeight="1">
      <c r="A188" s="1789"/>
      <c r="B188" s="1931" t="s">
        <v>280</v>
      </c>
      <c r="C188" s="1928">
        <v>373</v>
      </c>
      <c r="D188" s="1929">
        <v>1</v>
      </c>
      <c r="E188" s="1936"/>
      <c r="F188" s="1937" t="s">
        <v>281</v>
      </c>
      <c r="G188" s="100"/>
      <c r="H188" s="101"/>
      <c r="I188" s="363"/>
      <c r="J188" s="363"/>
      <c r="K188" s="363"/>
      <c r="L188" s="363"/>
      <c r="M188" s="363"/>
      <c r="N188" s="363"/>
      <c r="O188" s="363"/>
      <c r="P188" s="363"/>
      <c r="Q188" s="363"/>
      <c r="R188" s="363"/>
      <c r="S188" s="363"/>
      <c r="T188" s="363"/>
      <c r="U188" s="363"/>
      <c r="V188" s="363"/>
      <c r="W188" s="363"/>
      <c r="X188" s="363"/>
      <c r="Y188" s="363"/>
      <c r="Z188" s="363"/>
      <c r="AA188" s="363"/>
      <c r="AB188" s="358"/>
      <c r="AC188" s="358"/>
      <c r="AD188" s="358"/>
      <c r="AE188" s="358"/>
      <c r="AF188" s="358"/>
      <c r="AG188" s="358"/>
      <c r="AH188" s="358"/>
      <c r="AI188" s="358"/>
      <c r="AJ188" s="358"/>
      <c r="AK188" s="358"/>
      <c r="AL188" s="358"/>
      <c r="AM188" s="358"/>
      <c r="AN188" s="358"/>
      <c r="AO188" s="358"/>
      <c r="AP188" s="358"/>
      <c r="AQ188" s="358"/>
      <c r="AR188" s="358"/>
      <c r="AS188" s="358"/>
      <c r="AT188" s="358"/>
      <c r="AU188" s="358"/>
      <c r="AV188" s="358"/>
      <c r="AW188" s="358"/>
      <c r="AX188" s="358"/>
      <c r="AY188" s="358"/>
      <c r="AZ188" s="358"/>
      <c r="BA188" s="358"/>
      <c r="BB188" s="358"/>
      <c r="BC188" s="363"/>
      <c r="BD188" s="363"/>
      <c r="BE188" s="363"/>
      <c r="BF188" s="363"/>
      <c r="BG188" s="363"/>
      <c r="BH188" s="363"/>
      <c r="BI188" s="363"/>
      <c r="BJ188" s="363"/>
      <c r="BK188" s="363"/>
      <c r="BL188" s="363"/>
      <c r="BM188" s="363"/>
      <c r="BN188" s="3493"/>
    </row>
    <row r="189" spans="1:66" s="412" customFormat="1" ht="14.25" customHeight="1">
      <c r="A189" s="1789"/>
      <c r="B189" s="1931" t="s">
        <v>283</v>
      </c>
      <c r="C189" s="1928">
        <v>373</v>
      </c>
      <c r="D189" s="1929">
        <v>1</v>
      </c>
      <c r="E189" s="1936">
        <v>13</v>
      </c>
      <c r="F189" s="1937" t="s">
        <v>281</v>
      </c>
      <c r="G189" s="100"/>
      <c r="H189" s="101"/>
      <c r="I189" s="363"/>
      <c r="J189" s="363"/>
      <c r="K189" s="363"/>
      <c r="L189" s="363"/>
      <c r="M189" s="363"/>
      <c r="N189" s="363"/>
      <c r="O189" s="363"/>
      <c r="P189" s="363"/>
      <c r="Q189" s="363"/>
      <c r="R189" s="363"/>
      <c r="S189" s="363"/>
      <c r="T189" s="363"/>
      <c r="U189" s="363"/>
      <c r="V189" s="363"/>
      <c r="W189" s="363"/>
      <c r="X189" s="363"/>
      <c r="Y189" s="363"/>
      <c r="Z189" s="363"/>
      <c r="AA189" s="363"/>
      <c r="AB189" s="358"/>
      <c r="AC189" s="358"/>
      <c r="AD189" s="358"/>
      <c r="AE189" s="358"/>
      <c r="AF189" s="358"/>
      <c r="AG189" s="358"/>
      <c r="AH189" s="358"/>
      <c r="AI189" s="358"/>
      <c r="AJ189" s="358"/>
      <c r="AK189" s="358"/>
      <c r="AL189" s="358"/>
      <c r="AM189" s="358"/>
      <c r="AN189" s="358"/>
      <c r="AO189" s="358"/>
      <c r="AP189" s="358"/>
      <c r="AQ189" s="358"/>
      <c r="AR189" s="358"/>
      <c r="AS189" s="358"/>
      <c r="AT189" s="358"/>
      <c r="AU189" s="358"/>
      <c r="AV189" s="358"/>
      <c r="AW189" s="358"/>
      <c r="AX189" s="358"/>
      <c r="AY189" s="358"/>
      <c r="AZ189" s="358"/>
      <c r="BA189" s="358"/>
      <c r="BB189" s="358"/>
      <c r="BC189" s="363"/>
      <c r="BD189" s="363"/>
      <c r="BE189" s="363"/>
      <c r="BF189" s="363"/>
      <c r="BG189" s="363"/>
      <c r="BH189" s="363"/>
      <c r="BI189" s="363"/>
      <c r="BJ189" s="363"/>
      <c r="BK189" s="363"/>
      <c r="BL189" s="363"/>
      <c r="BM189" s="363"/>
      <c r="BN189" s="3493"/>
    </row>
    <row r="190" spans="1:66" s="412" customFormat="1" ht="14.25" customHeight="1">
      <c r="A190" s="96"/>
      <c r="B190" s="1931" t="s">
        <v>284</v>
      </c>
      <c r="C190" s="1928">
        <v>373</v>
      </c>
      <c r="D190" s="1929">
        <v>1</v>
      </c>
      <c r="E190" s="1936">
        <v>43</v>
      </c>
      <c r="F190" s="1937" t="s">
        <v>281</v>
      </c>
      <c r="G190" s="100"/>
      <c r="H190" s="101"/>
      <c r="I190" s="363"/>
      <c r="J190" s="363"/>
      <c r="K190" s="363"/>
      <c r="L190" s="363"/>
      <c r="M190" s="363"/>
      <c r="N190" s="363"/>
      <c r="O190" s="363"/>
      <c r="P190" s="363"/>
      <c r="Q190" s="363"/>
      <c r="R190" s="363"/>
      <c r="S190" s="363"/>
      <c r="T190" s="363"/>
      <c r="U190" s="363"/>
      <c r="V190" s="363"/>
      <c r="W190" s="363"/>
      <c r="X190" s="363"/>
      <c r="Y190" s="363"/>
      <c r="Z190" s="363"/>
      <c r="AA190" s="363"/>
      <c r="AB190" s="358"/>
      <c r="AC190" s="358"/>
      <c r="AD190" s="358"/>
      <c r="AE190" s="358"/>
      <c r="AF190" s="358"/>
      <c r="AG190" s="358"/>
      <c r="AH190" s="358"/>
      <c r="AI190" s="358"/>
      <c r="AJ190" s="358"/>
      <c r="AK190" s="358"/>
      <c r="AL190" s="358"/>
      <c r="AM190" s="358"/>
      <c r="AN190" s="358"/>
      <c r="AO190" s="358"/>
      <c r="AP190" s="358"/>
      <c r="AQ190" s="358"/>
      <c r="AR190" s="358"/>
      <c r="AS190" s="358"/>
      <c r="AT190" s="358"/>
      <c r="AU190" s="358"/>
      <c r="AV190" s="358"/>
      <c r="AW190" s="358"/>
      <c r="AX190" s="358"/>
      <c r="AY190" s="358"/>
      <c r="AZ190" s="358"/>
      <c r="BA190" s="358"/>
      <c r="BB190" s="358"/>
      <c r="BC190" s="363"/>
      <c r="BD190" s="363"/>
      <c r="BE190" s="363"/>
      <c r="BF190" s="363"/>
      <c r="BG190" s="363"/>
      <c r="BH190" s="363"/>
      <c r="BI190" s="363"/>
      <c r="BJ190" s="363"/>
      <c r="BK190" s="363"/>
      <c r="BL190" s="363"/>
      <c r="BM190" s="363"/>
      <c r="BN190" s="3493"/>
    </row>
    <row r="191" spans="1:66" s="412" customFormat="1" ht="14.25" customHeight="1">
      <c r="A191" s="1790"/>
      <c r="B191" s="1931" t="s">
        <v>285</v>
      </c>
      <c r="C191" s="1928">
        <v>300</v>
      </c>
      <c r="D191" s="1929">
        <v>1</v>
      </c>
      <c r="E191" s="1936">
        <v>2</v>
      </c>
      <c r="F191" s="1937" t="s">
        <v>286</v>
      </c>
      <c r="G191" s="100"/>
      <c r="H191" s="101"/>
      <c r="I191" s="363"/>
      <c r="J191" s="363"/>
      <c r="K191" s="363"/>
      <c r="L191" s="363"/>
      <c r="M191" s="363"/>
      <c r="N191" s="363"/>
      <c r="O191" s="363"/>
      <c r="P191" s="363"/>
      <c r="Q191" s="363"/>
      <c r="R191" s="363"/>
      <c r="S191" s="363"/>
      <c r="T191" s="363"/>
      <c r="U191" s="363"/>
      <c r="V191" s="363"/>
      <c r="W191" s="363"/>
      <c r="X191" s="363"/>
      <c r="Y191" s="363"/>
      <c r="Z191" s="363"/>
      <c r="AA191" s="363"/>
      <c r="AB191" s="358"/>
      <c r="AC191" s="358"/>
      <c r="AD191" s="358"/>
      <c r="AE191" s="358"/>
      <c r="AF191" s="358"/>
      <c r="AG191" s="358"/>
      <c r="AH191" s="358"/>
      <c r="AI191" s="358"/>
      <c r="AJ191" s="358"/>
      <c r="AK191" s="358"/>
      <c r="AL191" s="358"/>
      <c r="AM191" s="358"/>
      <c r="AN191" s="358"/>
      <c r="AO191" s="358"/>
      <c r="AP191" s="358"/>
      <c r="AQ191" s="358"/>
      <c r="AR191" s="358"/>
      <c r="AS191" s="358"/>
      <c r="AT191" s="358"/>
      <c r="AU191" s="358"/>
      <c r="AV191" s="358"/>
      <c r="AW191" s="358"/>
      <c r="AX191" s="358"/>
      <c r="AY191" s="358"/>
      <c r="AZ191" s="358"/>
      <c r="BA191" s="358"/>
      <c r="BB191" s="358"/>
      <c r="BC191" s="363"/>
      <c r="BD191" s="363"/>
      <c r="BE191" s="363"/>
      <c r="BF191" s="363"/>
      <c r="BG191" s="363"/>
      <c r="BH191" s="363"/>
      <c r="BI191" s="363"/>
      <c r="BJ191" s="363"/>
      <c r="BK191" s="363"/>
      <c r="BL191" s="363"/>
      <c r="BM191" s="363"/>
      <c r="BN191" s="3493"/>
    </row>
    <row r="192" spans="1:66" s="412" customFormat="1" ht="14.25" customHeight="1">
      <c r="A192" s="96"/>
      <c r="B192" s="1931" t="s">
        <v>287</v>
      </c>
      <c r="C192" s="1928">
        <v>300</v>
      </c>
      <c r="D192" s="1929">
        <v>1</v>
      </c>
      <c r="E192" s="1936">
        <v>89</v>
      </c>
      <c r="F192" s="1937" t="s">
        <v>286</v>
      </c>
      <c r="G192" s="100"/>
      <c r="H192" s="101"/>
      <c r="I192" s="363"/>
      <c r="J192" s="363"/>
      <c r="K192" s="363"/>
      <c r="L192" s="363"/>
      <c r="M192" s="363"/>
      <c r="N192" s="363"/>
      <c r="O192" s="363"/>
      <c r="P192" s="363"/>
      <c r="Q192" s="363"/>
      <c r="R192" s="363"/>
      <c r="S192" s="363"/>
      <c r="T192" s="363"/>
      <c r="U192" s="363"/>
      <c r="V192" s="363"/>
      <c r="W192" s="363"/>
      <c r="X192" s="363"/>
      <c r="Y192" s="363"/>
      <c r="Z192" s="363"/>
      <c r="AA192" s="363"/>
      <c r="AB192" s="358"/>
      <c r="AC192" s="358"/>
      <c r="AD192" s="358"/>
      <c r="AE192" s="358"/>
      <c r="AF192" s="358"/>
      <c r="AG192" s="358"/>
      <c r="AH192" s="358"/>
      <c r="AI192" s="358"/>
      <c r="AJ192" s="358"/>
      <c r="AK192" s="358"/>
      <c r="AL192" s="358"/>
      <c r="AM192" s="358"/>
      <c r="AN192" s="358"/>
      <c r="AO192" s="358"/>
      <c r="AP192" s="358"/>
      <c r="AQ192" s="358"/>
      <c r="AR192" s="358"/>
      <c r="AS192" s="358"/>
      <c r="AT192" s="358"/>
      <c r="AU192" s="358"/>
      <c r="AV192" s="358"/>
      <c r="AW192" s="358"/>
      <c r="AX192" s="358"/>
      <c r="AY192" s="358"/>
      <c r="AZ192" s="358"/>
      <c r="BA192" s="358"/>
      <c r="BB192" s="358"/>
      <c r="BC192" s="363"/>
      <c r="BD192" s="363"/>
      <c r="BE192" s="363"/>
      <c r="BF192" s="363"/>
      <c r="BG192" s="363"/>
      <c r="BH192" s="363"/>
      <c r="BI192" s="363"/>
      <c r="BJ192" s="363"/>
      <c r="BK192" s="363"/>
      <c r="BL192" s="363"/>
      <c r="BM192" s="363"/>
      <c r="BN192" s="3493"/>
    </row>
    <row r="193" spans="1:66" s="412" customFormat="1" ht="14.25" customHeight="1">
      <c r="A193" s="96"/>
      <c r="B193" s="1931" t="s">
        <v>288</v>
      </c>
      <c r="C193" s="1928">
        <v>300</v>
      </c>
      <c r="D193" s="1929">
        <v>1</v>
      </c>
      <c r="E193" s="1936">
        <v>178</v>
      </c>
      <c r="F193" s="1937" t="s">
        <v>286</v>
      </c>
      <c r="G193" s="100"/>
      <c r="H193" s="101"/>
      <c r="I193" s="363"/>
      <c r="J193" s="363"/>
      <c r="K193" s="363"/>
      <c r="L193" s="363"/>
      <c r="M193" s="363"/>
      <c r="N193" s="363"/>
      <c r="O193" s="363"/>
      <c r="P193" s="363"/>
      <c r="Q193" s="363"/>
      <c r="R193" s="363"/>
      <c r="S193" s="363"/>
      <c r="T193" s="363"/>
      <c r="U193" s="363"/>
      <c r="V193" s="363"/>
      <c r="W193" s="363"/>
      <c r="X193" s="363"/>
      <c r="Y193" s="363"/>
      <c r="Z193" s="363"/>
      <c r="AA193" s="363"/>
      <c r="AB193" s="358"/>
      <c r="AC193" s="358"/>
      <c r="AD193" s="358"/>
      <c r="AE193" s="358"/>
      <c r="AF193" s="358"/>
      <c r="AG193" s="358"/>
      <c r="AH193" s="358"/>
      <c r="AI193" s="358"/>
      <c r="AJ193" s="358"/>
      <c r="AK193" s="358"/>
      <c r="AL193" s="358"/>
      <c r="AM193" s="358"/>
      <c r="AN193" s="358"/>
      <c r="AO193" s="358"/>
      <c r="AP193" s="358"/>
      <c r="AQ193" s="358"/>
      <c r="AR193" s="358"/>
      <c r="AS193" s="358"/>
      <c r="AT193" s="358"/>
      <c r="AU193" s="358"/>
      <c r="AV193" s="358"/>
      <c r="AW193" s="358"/>
      <c r="AX193" s="358"/>
      <c r="AY193" s="358"/>
      <c r="AZ193" s="358"/>
      <c r="BA193" s="358"/>
      <c r="BB193" s="358"/>
      <c r="BC193" s="363"/>
      <c r="BD193" s="363"/>
      <c r="BE193" s="363"/>
      <c r="BF193" s="363"/>
      <c r="BG193" s="363"/>
      <c r="BH193" s="363"/>
      <c r="BI193" s="363"/>
      <c r="BJ193" s="363"/>
      <c r="BK193" s="363"/>
      <c r="BL193" s="363"/>
      <c r="BM193" s="363"/>
      <c r="BN193" s="3493"/>
    </row>
    <row r="194" spans="1:66" s="412" customFormat="1" ht="14.25" customHeight="1">
      <c r="A194" s="1791"/>
      <c r="B194" s="1792"/>
      <c r="C194" s="1792"/>
      <c r="D194" s="1792"/>
      <c r="E194" s="1792"/>
      <c r="F194" s="1792"/>
      <c r="G194" s="100"/>
      <c r="H194" s="101"/>
      <c r="I194" s="363"/>
      <c r="J194" s="363"/>
      <c r="K194" s="363"/>
      <c r="L194" s="363"/>
      <c r="M194" s="363"/>
      <c r="N194" s="363"/>
      <c r="O194" s="363"/>
      <c r="P194" s="363"/>
      <c r="Q194" s="363"/>
      <c r="R194" s="363"/>
      <c r="S194" s="363"/>
      <c r="T194" s="363"/>
      <c r="U194" s="363"/>
      <c r="V194" s="363"/>
      <c r="W194" s="363"/>
      <c r="X194" s="363"/>
      <c r="Y194" s="363"/>
      <c r="Z194" s="363"/>
      <c r="AA194" s="363"/>
      <c r="AB194" s="358"/>
      <c r="AC194" s="358"/>
      <c r="AD194" s="358"/>
      <c r="AE194" s="358"/>
      <c r="AF194" s="358"/>
      <c r="AG194" s="358"/>
      <c r="AH194" s="358"/>
      <c r="AI194" s="358"/>
      <c r="AJ194" s="358"/>
      <c r="AK194" s="358"/>
      <c r="AL194" s="358"/>
      <c r="AM194" s="358"/>
      <c r="AN194" s="358"/>
      <c r="AO194" s="358"/>
      <c r="AP194" s="358"/>
      <c r="AQ194" s="358"/>
      <c r="AR194" s="358"/>
      <c r="AS194" s="358"/>
      <c r="AT194" s="358"/>
      <c r="AU194" s="358"/>
      <c r="AV194" s="358"/>
      <c r="AW194" s="358"/>
      <c r="AX194" s="358"/>
      <c r="AY194" s="358"/>
      <c r="AZ194" s="358"/>
      <c r="BA194" s="358"/>
      <c r="BB194" s="358"/>
      <c r="BC194" s="363"/>
      <c r="BD194" s="363"/>
      <c r="BE194" s="363"/>
      <c r="BF194" s="363"/>
      <c r="BG194" s="363"/>
      <c r="BH194" s="363"/>
      <c r="BI194" s="363"/>
      <c r="BJ194" s="363"/>
      <c r="BK194" s="363"/>
      <c r="BL194" s="363"/>
      <c r="BM194" s="363"/>
      <c r="BN194" s="3493"/>
    </row>
    <row r="195" spans="1:66" s="412" customFormat="1" ht="14.25" customHeight="1">
      <c r="A195" s="1791"/>
      <c r="B195" s="1771" t="s">
        <v>294</v>
      </c>
      <c r="C195" s="4536" t="s">
        <v>295</v>
      </c>
      <c r="D195" s="4537"/>
      <c r="E195" s="4537"/>
      <c r="F195" s="4537"/>
      <c r="G195" s="4537"/>
      <c r="H195" s="4538"/>
      <c r="I195" s="363"/>
      <c r="J195" s="363"/>
      <c r="K195" s="363"/>
      <c r="L195" s="363"/>
      <c r="M195" s="363"/>
      <c r="N195" s="363"/>
      <c r="O195" s="363"/>
      <c r="P195" s="363"/>
      <c r="Q195" s="363"/>
      <c r="R195" s="363"/>
      <c r="S195" s="363"/>
      <c r="T195" s="363"/>
      <c r="U195" s="363"/>
      <c r="V195" s="363"/>
      <c r="W195" s="363"/>
      <c r="X195" s="363"/>
      <c r="Y195" s="363"/>
      <c r="Z195" s="363"/>
      <c r="AA195" s="363"/>
      <c r="AB195" s="358"/>
      <c r="AC195" s="358"/>
      <c r="AD195" s="358"/>
      <c r="AE195" s="358"/>
      <c r="AF195" s="358"/>
      <c r="AG195" s="358"/>
      <c r="AH195" s="358"/>
      <c r="AI195" s="358"/>
      <c r="AJ195" s="358"/>
      <c r="AK195" s="358"/>
      <c r="AL195" s="358"/>
      <c r="AM195" s="358"/>
      <c r="AN195" s="358"/>
      <c r="AO195" s="358"/>
      <c r="AP195" s="358"/>
      <c r="AQ195" s="358"/>
      <c r="AR195" s="358"/>
      <c r="AS195" s="358"/>
      <c r="AT195" s="358"/>
      <c r="AU195" s="358"/>
      <c r="AV195" s="358"/>
      <c r="AW195" s="358"/>
      <c r="AX195" s="358"/>
      <c r="AY195" s="358"/>
      <c r="AZ195" s="358"/>
      <c r="BA195" s="358"/>
      <c r="BB195" s="358"/>
      <c r="BC195" s="363"/>
      <c r="BD195" s="363"/>
      <c r="BE195" s="363"/>
      <c r="BF195" s="363"/>
      <c r="BG195" s="363"/>
      <c r="BH195" s="363"/>
      <c r="BI195" s="363"/>
      <c r="BJ195" s="363"/>
      <c r="BK195" s="363"/>
      <c r="BL195" s="363"/>
      <c r="BM195" s="363"/>
      <c r="BN195" s="3493"/>
    </row>
    <row r="196" spans="1:66" s="412" customFormat="1" ht="14.25" customHeight="1">
      <c r="A196" s="1791"/>
      <c r="B196" s="1927" t="s">
        <v>296</v>
      </c>
      <c r="C196" s="1938">
        <v>360</v>
      </c>
      <c r="D196" s="1938">
        <v>1</v>
      </c>
      <c r="E196" s="1939">
        <v>30</v>
      </c>
      <c r="F196" s="1940" t="s">
        <v>281</v>
      </c>
      <c r="G196" s="1793"/>
      <c r="H196" s="101"/>
      <c r="I196" s="363"/>
      <c r="J196" s="363"/>
      <c r="K196" s="363"/>
      <c r="L196" s="363"/>
      <c r="M196" s="363"/>
      <c r="N196" s="363"/>
      <c r="O196" s="363"/>
      <c r="P196" s="363"/>
      <c r="Q196" s="363"/>
      <c r="R196" s="363"/>
      <c r="S196" s="363"/>
      <c r="T196" s="363"/>
      <c r="U196" s="363"/>
      <c r="V196" s="363"/>
      <c r="W196" s="363"/>
      <c r="X196" s="363"/>
      <c r="Y196" s="363"/>
      <c r="Z196" s="363"/>
      <c r="AA196" s="363"/>
      <c r="AB196" s="358"/>
      <c r="AC196" s="358"/>
      <c r="AD196" s="358"/>
      <c r="AE196" s="358"/>
      <c r="AF196" s="358"/>
      <c r="AG196" s="358"/>
      <c r="AH196" s="358"/>
      <c r="AI196" s="358"/>
      <c r="AJ196" s="358"/>
      <c r="AK196" s="358"/>
      <c r="AL196" s="358"/>
      <c r="AM196" s="358"/>
      <c r="AN196" s="358"/>
      <c r="AO196" s="358"/>
      <c r="AP196" s="358"/>
      <c r="AQ196" s="358"/>
      <c r="AR196" s="358"/>
      <c r="AS196" s="358"/>
      <c r="AT196" s="358"/>
      <c r="AU196" s="358"/>
      <c r="AV196" s="358"/>
      <c r="AW196" s="358"/>
      <c r="AX196" s="358"/>
      <c r="AY196" s="358"/>
      <c r="AZ196" s="358"/>
      <c r="BA196" s="358"/>
      <c r="BB196" s="358"/>
      <c r="BC196" s="363"/>
      <c r="BD196" s="363"/>
      <c r="BE196" s="363"/>
      <c r="BF196" s="363"/>
      <c r="BG196" s="363"/>
      <c r="BH196" s="363"/>
      <c r="BI196" s="363"/>
      <c r="BJ196" s="363"/>
      <c r="BK196" s="363"/>
      <c r="BL196" s="363"/>
      <c r="BM196" s="363"/>
      <c r="BN196" s="3493"/>
    </row>
    <row r="197" spans="1:66" s="412" customFormat="1" ht="14.25" customHeight="1">
      <c r="A197" s="1791"/>
      <c r="B197" s="1927" t="s">
        <v>297</v>
      </c>
      <c r="C197" s="1938">
        <v>360</v>
      </c>
      <c r="D197" s="1938">
        <v>1</v>
      </c>
      <c r="E197" s="1939">
        <v>65</v>
      </c>
      <c r="F197" s="1940" t="s">
        <v>281</v>
      </c>
      <c r="G197" s="1793"/>
      <c r="H197" s="101"/>
      <c r="I197" s="363"/>
      <c r="J197" s="363"/>
      <c r="K197" s="363"/>
      <c r="L197" s="363"/>
      <c r="M197" s="363"/>
      <c r="N197" s="363"/>
      <c r="O197" s="363"/>
      <c r="P197" s="363"/>
      <c r="Q197" s="363"/>
      <c r="R197" s="363"/>
      <c r="S197" s="363"/>
      <c r="T197" s="363"/>
      <c r="U197" s="363"/>
      <c r="V197" s="363"/>
      <c r="W197" s="363"/>
      <c r="X197" s="363"/>
      <c r="Y197" s="363"/>
      <c r="Z197" s="363"/>
      <c r="AA197" s="363"/>
      <c r="AB197" s="358"/>
      <c r="AC197" s="358"/>
      <c r="AD197" s="358"/>
      <c r="AE197" s="358"/>
      <c r="AF197" s="358"/>
      <c r="AG197" s="358"/>
      <c r="AH197" s="358"/>
      <c r="AI197" s="358"/>
      <c r="AJ197" s="358"/>
      <c r="AK197" s="358"/>
      <c r="AL197" s="358"/>
      <c r="AM197" s="358"/>
      <c r="AN197" s="358"/>
      <c r="AO197" s="358"/>
      <c r="AP197" s="358"/>
      <c r="AQ197" s="358"/>
      <c r="AR197" s="358"/>
      <c r="AS197" s="358"/>
      <c r="AT197" s="358"/>
      <c r="AU197" s="358"/>
      <c r="AV197" s="358"/>
      <c r="AW197" s="358"/>
      <c r="AX197" s="358"/>
      <c r="AY197" s="358"/>
      <c r="AZ197" s="358"/>
      <c r="BA197" s="358"/>
      <c r="BB197" s="358"/>
      <c r="BC197" s="363"/>
      <c r="BD197" s="363"/>
      <c r="BE197" s="363"/>
      <c r="BF197" s="363"/>
      <c r="BG197" s="363"/>
      <c r="BH197" s="363"/>
      <c r="BI197" s="363"/>
      <c r="BJ197" s="363"/>
      <c r="BK197" s="363"/>
      <c r="BL197" s="363"/>
      <c r="BM197" s="363"/>
      <c r="BN197" s="3493"/>
    </row>
    <row r="198" spans="1:66" s="412" customFormat="1" ht="14.25" customHeight="1">
      <c r="A198" s="1791"/>
      <c r="B198" s="1927" t="s">
        <v>298</v>
      </c>
      <c r="C198" s="1938">
        <v>360</v>
      </c>
      <c r="D198" s="1938">
        <v>1</v>
      </c>
      <c r="E198" s="1939">
        <v>130</v>
      </c>
      <c r="F198" s="1940" t="s">
        <v>281</v>
      </c>
      <c r="G198" s="1793"/>
      <c r="H198" s="101"/>
      <c r="I198" s="363"/>
      <c r="J198" s="363"/>
      <c r="K198" s="363"/>
      <c r="L198" s="363"/>
      <c r="M198" s="363"/>
      <c r="N198" s="363"/>
      <c r="O198" s="363"/>
      <c r="P198" s="363"/>
      <c r="Q198" s="363"/>
      <c r="R198" s="363"/>
      <c r="S198" s="363"/>
      <c r="T198" s="363"/>
      <c r="U198" s="363"/>
      <c r="V198" s="363"/>
      <c r="W198" s="363"/>
      <c r="X198" s="363"/>
      <c r="Y198" s="363"/>
      <c r="Z198" s="363"/>
      <c r="AA198" s="363"/>
      <c r="AB198" s="358"/>
      <c r="AC198" s="358"/>
      <c r="AD198" s="358"/>
      <c r="AE198" s="358"/>
      <c r="AF198" s="358"/>
      <c r="AG198" s="358"/>
      <c r="AH198" s="358"/>
      <c r="AI198" s="358"/>
      <c r="AJ198" s="358"/>
      <c r="AK198" s="358"/>
      <c r="AL198" s="358"/>
      <c r="AM198" s="358"/>
      <c r="AN198" s="358"/>
      <c r="AO198" s="358"/>
      <c r="AP198" s="358"/>
      <c r="AQ198" s="358"/>
      <c r="AR198" s="358"/>
      <c r="AS198" s="358"/>
      <c r="AT198" s="358"/>
      <c r="AU198" s="358"/>
      <c r="AV198" s="358"/>
      <c r="AW198" s="358"/>
      <c r="AX198" s="358"/>
      <c r="AY198" s="358"/>
      <c r="AZ198" s="358"/>
      <c r="BA198" s="358"/>
      <c r="BB198" s="358"/>
      <c r="BC198" s="363"/>
      <c r="BD198" s="363"/>
      <c r="BE198" s="363"/>
      <c r="BF198" s="363"/>
      <c r="BG198" s="363"/>
      <c r="BH198" s="363"/>
      <c r="BI198" s="363"/>
      <c r="BJ198" s="363"/>
      <c r="BK198" s="363"/>
      <c r="BL198" s="363"/>
      <c r="BM198" s="363"/>
      <c r="BN198" s="3493"/>
    </row>
    <row r="199" spans="1:66" s="412" customFormat="1" ht="14.25" customHeight="1">
      <c r="A199" s="1791"/>
      <c r="B199" s="1927" t="s">
        <v>299</v>
      </c>
      <c r="C199" s="1938">
        <v>360</v>
      </c>
      <c r="D199" s="1938">
        <v>1</v>
      </c>
      <c r="E199" s="1939">
        <v>600</v>
      </c>
      <c r="F199" s="1940" t="s">
        <v>281</v>
      </c>
      <c r="G199" s="1793"/>
      <c r="H199" s="101"/>
      <c r="I199" s="363"/>
      <c r="J199" s="363"/>
      <c r="K199" s="363"/>
      <c r="L199" s="363"/>
      <c r="M199" s="363"/>
      <c r="N199" s="363"/>
      <c r="O199" s="363"/>
      <c r="P199" s="363"/>
      <c r="Q199" s="363"/>
      <c r="R199" s="363"/>
      <c r="S199" s="363"/>
      <c r="T199" s="363"/>
      <c r="U199" s="363"/>
      <c r="V199" s="363"/>
      <c r="W199" s="363"/>
      <c r="X199" s="363"/>
      <c r="Y199" s="363"/>
      <c r="Z199" s="363"/>
      <c r="AA199" s="363"/>
      <c r="AB199" s="358"/>
      <c r="AC199" s="358"/>
      <c r="AD199" s="358"/>
      <c r="AE199" s="358"/>
      <c r="AF199" s="358"/>
      <c r="AG199" s="358"/>
      <c r="AH199" s="358"/>
      <c r="AI199" s="358"/>
      <c r="AJ199" s="358"/>
      <c r="AK199" s="358"/>
      <c r="AL199" s="358"/>
      <c r="AM199" s="358"/>
      <c r="AN199" s="358"/>
      <c r="AO199" s="358"/>
      <c r="AP199" s="358"/>
      <c r="AQ199" s="358"/>
      <c r="AR199" s="358"/>
      <c r="AS199" s="358"/>
      <c r="AT199" s="358"/>
      <c r="AU199" s="358"/>
      <c r="AV199" s="358"/>
      <c r="AW199" s="358"/>
      <c r="AX199" s="358"/>
      <c r="AY199" s="358"/>
      <c r="AZ199" s="358"/>
      <c r="BA199" s="358"/>
      <c r="BB199" s="358"/>
      <c r="BC199" s="363"/>
      <c r="BD199" s="363"/>
      <c r="BE199" s="363"/>
      <c r="BF199" s="363"/>
      <c r="BG199" s="363"/>
      <c r="BH199" s="363"/>
      <c r="BI199" s="363"/>
      <c r="BJ199" s="363"/>
      <c r="BK199" s="363"/>
      <c r="BL199" s="363"/>
      <c r="BM199" s="363"/>
      <c r="BN199" s="3493"/>
    </row>
    <row r="200" spans="1:66" s="412" customFormat="1" ht="14.25" customHeight="1">
      <c r="A200" s="1791"/>
      <c r="B200" s="1794"/>
      <c r="C200" s="1794"/>
      <c r="D200" s="1794"/>
      <c r="E200" s="1795"/>
      <c r="F200" s="1796"/>
      <c r="G200" s="1793"/>
      <c r="H200" s="101"/>
      <c r="I200" s="363"/>
      <c r="J200" s="363"/>
      <c r="K200" s="363"/>
      <c r="L200" s="363"/>
      <c r="M200" s="363"/>
      <c r="N200" s="363"/>
      <c r="O200" s="363"/>
      <c r="P200" s="363"/>
      <c r="Q200" s="363"/>
      <c r="R200" s="363"/>
      <c r="S200" s="363"/>
      <c r="T200" s="363"/>
      <c r="U200" s="363"/>
      <c r="V200" s="363"/>
      <c r="W200" s="363"/>
      <c r="X200" s="363"/>
      <c r="Y200" s="363"/>
      <c r="Z200" s="363"/>
      <c r="AA200" s="363"/>
      <c r="AB200" s="358"/>
      <c r="AC200" s="358"/>
      <c r="AD200" s="358"/>
      <c r="AE200" s="358"/>
      <c r="AF200" s="358"/>
      <c r="AG200" s="358"/>
      <c r="AH200" s="358"/>
      <c r="AI200" s="358"/>
      <c r="AJ200" s="358"/>
      <c r="AK200" s="358"/>
      <c r="AL200" s="358"/>
      <c r="AM200" s="358"/>
      <c r="AN200" s="358"/>
      <c r="AO200" s="358"/>
      <c r="AP200" s="358"/>
      <c r="AQ200" s="358"/>
      <c r="AR200" s="358"/>
      <c r="AS200" s="358"/>
      <c r="AT200" s="358"/>
      <c r="AU200" s="358"/>
      <c r="AV200" s="358"/>
      <c r="AW200" s="358"/>
      <c r="AX200" s="358"/>
      <c r="AY200" s="358"/>
      <c r="AZ200" s="358"/>
      <c r="BA200" s="358"/>
      <c r="BB200" s="358"/>
      <c r="BC200" s="363"/>
      <c r="BD200" s="363"/>
      <c r="BE200" s="363"/>
      <c r="BF200" s="363"/>
      <c r="BG200" s="363"/>
      <c r="BH200" s="363"/>
      <c r="BI200" s="363"/>
      <c r="BJ200" s="363"/>
      <c r="BK200" s="363"/>
      <c r="BL200" s="363"/>
      <c r="BM200" s="363"/>
      <c r="BN200" s="3493"/>
    </row>
    <row r="201" spans="1:66" s="412" customFormat="1" ht="14.25" customHeight="1">
      <c r="A201" s="1791"/>
      <c r="B201" s="1794" t="s">
        <v>300</v>
      </c>
      <c r="C201" s="1794"/>
      <c r="D201" s="1794"/>
      <c r="E201" s="1795"/>
      <c r="F201" s="1796"/>
      <c r="G201" s="1793"/>
      <c r="H201" s="101"/>
      <c r="I201" s="363"/>
      <c r="J201" s="363"/>
      <c r="K201" s="363"/>
      <c r="L201" s="363"/>
      <c r="M201" s="363"/>
      <c r="N201" s="363"/>
      <c r="O201" s="363"/>
      <c r="P201" s="363"/>
      <c r="Q201" s="363"/>
      <c r="R201" s="363"/>
      <c r="S201" s="363"/>
      <c r="T201" s="363"/>
      <c r="U201" s="363"/>
      <c r="V201" s="363"/>
      <c r="W201" s="363"/>
      <c r="X201" s="363"/>
      <c r="Y201" s="363"/>
      <c r="Z201" s="363"/>
      <c r="AA201" s="363"/>
      <c r="AB201" s="358"/>
      <c r="AC201" s="358"/>
      <c r="AD201" s="358"/>
      <c r="AE201" s="358"/>
      <c r="AF201" s="358"/>
      <c r="AG201" s="358"/>
      <c r="AH201" s="358"/>
      <c r="AI201" s="358"/>
      <c r="AJ201" s="358"/>
      <c r="AK201" s="358"/>
      <c r="AL201" s="358"/>
      <c r="AM201" s="358"/>
      <c r="AN201" s="358"/>
      <c r="AO201" s="358"/>
      <c r="AP201" s="358"/>
      <c r="AQ201" s="358"/>
      <c r="AR201" s="358"/>
      <c r="AS201" s="358"/>
      <c r="AT201" s="358"/>
      <c r="AU201" s="358"/>
      <c r="AV201" s="358"/>
      <c r="AW201" s="358"/>
      <c r="AX201" s="358"/>
      <c r="AY201" s="358"/>
      <c r="AZ201" s="358"/>
      <c r="BA201" s="358"/>
      <c r="BB201" s="358"/>
      <c r="BC201" s="363"/>
      <c r="BD201" s="363"/>
      <c r="BE201" s="363"/>
      <c r="BF201" s="363"/>
      <c r="BG201" s="363"/>
      <c r="BH201" s="363"/>
      <c r="BI201" s="363"/>
      <c r="BJ201" s="363"/>
      <c r="BK201" s="363"/>
      <c r="BL201" s="363"/>
      <c r="BM201" s="363"/>
      <c r="BN201" s="3493"/>
    </row>
    <row r="202" spans="1:66" s="412" customFormat="1" ht="14.25" customHeight="1">
      <c r="A202" s="1791"/>
      <c r="B202" s="1927" t="s">
        <v>301</v>
      </c>
      <c r="C202" s="1938">
        <v>319</v>
      </c>
      <c r="D202" s="1938">
        <v>1</v>
      </c>
      <c r="E202" s="1939">
        <v>24</v>
      </c>
      <c r="F202" s="1940" t="s">
        <v>286</v>
      </c>
      <c r="G202" s="1793"/>
      <c r="H202" s="101"/>
      <c r="I202" s="363"/>
      <c r="J202" s="363"/>
      <c r="K202" s="363"/>
      <c r="L202" s="363"/>
      <c r="M202" s="363"/>
      <c r="N202" s="363"/>
      <c r="O202" s="363"/>
      <c r="P202" s="363"/>
      <c r="Q202" s="363"/>
      <c r="R202" s="363"/>
      <c r="S202" s="363"/>
      <c r="T202" s="363"/>
      <c r="U202" s="363"/>
      <c r="V202" s="363"/>
      <c r="W202" s="363"/>
      <c r="X202" s="363"/>
      <c r="Y202" s="363"/>
      <c r="Z202" s="363"/>
      <c r="AA202" s="363"/>
      <c r="AB202" s="358"/>
      <c r="AC202" s="358"/>
      <c r="AD202" s="358"/>
      <c r="AE202" s="358"/>
      <c r="AF202" s="358"/>
      <c r="AG202" s="358"/>
      <c r="AH202" s="358"/>
      <c r="AI202" s="358"/>
      <c r="AJ202" s="358"/>
      <c r="AK202" s="358"/>
      <c r="AL202" s="358"/>
      <c r="AM202" s="358"/>
      <c r="AN202" s="358"/>
      <c r="AO202" s="358"/>
      <c r="AP202" s="358"/>
      <c r="AQ202" s="358"/>
      <c r="AR202" s="358"/>
      <c r="AS202" s="358"/>
      <c r="AT202" s="358"/>
      <c r="AU202" s="358"/>
      <c r="AV202" s="358"/>
      <c r="AW202" s="358"/>
      <c r="AX202" s="358"/>
      <c r="AY202" s="358"/>
      <c r="AZ202" s="358"/>
      <c r="BA202" s="358"/>
      <c r="BB202" s="358"/>
      <c r="BC202" s="363"/>
      <c r="BD202" s="363"/>
      <c r="BE202" s="363"/>
      <c r="BF202" s="363"/>
      <c r="BG202" s="363"/>
      <c r="BH202" s="363"/>
      <c r="BI202" s="363"/>
      <c r="BJ202" s="363"/>
      <c r="BK202" s="363"/>
      <c r="BL202" s="363"/>
      <c r="BM202" s="363"/>
      <c r="BN202" s="3493"/>
    </row>
    <row r="203" spans="1:66" s="412" customFormat="1" ht="14.25" customHeight="1">
      <c r="A203" s="1791"/>
      <c r="B203" s="1927" t="s">
        <v>302</v>
      </c>
      <c r="C203" s="1938">
        <v>319</v>
      </c>
      <c r="D203" s="1938">
        <v>1</v>
      </c>
      <c r="E203" s="1939">
        <v>53</v>
      </c>
      <c r="F203" s="1940" t="s">
        <v>286</v>
      </c>
      <c r="G203" s="1793"/>
      <c r="H203" s="101"/>
      <c r="I203" s="363"/>
      <c r="J203" s="363"/>
      <c r="K203" s="363"/>
      <c r="L203" s="363"/>
      <c r="M203" s="363"/>
      <c r="N203" s="363"/>
      <c r="O203" s="363"/>
      <c r="P203" s="363"/>
      <c r="Q203" s="363"/>
      <c r="R203" s="363"/>
      <c r="S203" s="363"/>
      <c r="T203" s="363"/>
      <c r="U203" s="363"/>
      <c r="V203" s="363"/>
      <c r="W203" s="363"/>
      <c r="X203" s="363"/>
      <c r="Y203" s="363"/>
      <c r="Z203" s="363"/>
      <c r="AA203" s="363"/>
      <c r="AB203" s="358"/>
      <c r="AC203" s="358"/>
      <c r="AD203" s="358"/>
      <c r="AE203" s="358"/>
      <c r="AF203" s="358"/>
      <c r="AG203" s="358"/>
      <c r="AH203" s="358"/>
      <c r="AI203" s="358"/>
      <c r="AJ203" s="358"/>
      <c r="AK203" s="358"/>
      <c r="AL203" s="358"/>
      <c r="AM203" s="358"/>
      <c r="AN203" s="358"/>
      <c r="AO203" s="358"/>
      <c r="AP203" s="358"/>
      <c r="AQ203" s="358"/>
      <c r="AR203" s="358"/>
      <c r="AS203" s="358"/>
      <c r="AT203" s="358"/>
      <c r="AU203" s="358"/>
      <c r="AV203" s="358"/>
      <c r="AW203" s="358"/>
      <c r="AX203" s="358"/>
      <c r="AY203" s="358"/>
      <c r="AZ203" s="358"/>
      <c r="BA203" s="358"/>
      <c r="BB203" s="358"/>
      <c r="BC203" s="363"/>
      <c r="BD203" s="363"/>
      <c r="BE203" s="363"/>
      <c r="BF203" s="363"/>
      <c r="BG203" s="363"/>
      <c r="BH203" s="363"/>
      <c r="BI203" s="363"/>
      <c r="BJ203" s="363"/>
      <c r="BK203" s="363"/>
      <c r="BL203" s="363"/>
      <c r="BM203" s="363"/>
      <c r="BN203" s="3493"/>
    </row>
    <row r="204" spans="1:66" s="412" customFormat="1" ht="14.25" customHeight="1">
      <c r="A204" s="1791"/>
      <c r="B204" s="1927" t="s">
        <v>303</v>
      </c>
      <c r="C204" s="1938">
        <v>319</v>
      </c>
      <c r="D204" s="1938">
        <v>1</v>
      </c>
      <c r="E204" s="1939">
        <v>105</v>
      </c>
      <c r="F204" s="1940" t="s">
        <v>286</v>
      </c>
      <c r="G204" s="1793"/>
      <c r="H204" s="101"/>
      <c r="I204" s="363"/>
      <c r="J204" s="363"/>
      <c r="K204" s="363"/>
      <c r="L204" s="363"/>
      <c r="M204" s="363"/>
      <c r="N204" s="363"/>
      <c r="O204" s="363"/>
      <c r="P204" s="363"/>
      <c r="Q204" s="363"/>
      <c r="R204" s="363"/>
      <c r="S204" s="363"/>
      <c r="T204" s="363"/>
      <c r="U204" s="363"/>
      <c r="V204" s="363"/>
      <c r="W204" s="363"/>
      <c r="X204" s="363"/>
      <c r="Y204" s="363"/>
      <c r="Z204" s="363"/>
      <c r="AA204" s="363"/>
      <c r="AB204" s="358"/>
      <c r="AC204" s="358"/>
      <c r="AD204" s="358"/>
      <c r="AE204" s="358"/>
      <c r="AF204" s="358"/>
      <c r="AG204" s="358"/>
      <c r="AH204" s="358"/>
      <c r="AI204" s="358"/>
      <c r="AJ204" s="358"/>
      <c r="AK204" s="358"/>
      <c r="AL204" s="358"/>
      <c r="AM204" s="358"/>
      <c r="AN204" s="358"/>
      <c r="AO204" s="358"/>
      <c r="AP204" s="358"/>
      <c r="AQ204" s="358"/>
      <c r="AR204" s="358"/>
      <c r="AS204" s="358"/>
      <c r="AT204" s="358"/>
      <c r="AU204" s="358"/>
      <c r="AV204" s="358"/>
      <c r="AW204" s="358"/>
      <c r="AX204" s="358"/>
      <c r="AY204" s="358"/>
      <c r="AZ204" s="358"/>
      <c r="BA204" s="358"/>
      <c r="BB204" s="358"/>
      <c r="BC204" s="363"/>
      <c r="BD204" s="363"/>
      <c r="BE204" s="363"/>
      <c r="BF204" s="363"/>
      <c r="BG204" s="363"/>
      <c r="BH204" s="363"/>
      <c r="BI204" s="363"/>
      <c r="BJ204" s="363"/>
      <c r="BK204" s="363"/>
      <c r="BL204" s="363"/>
      <c r="BM204" s="363"/>
      <c r="BN204" s="3493"/>
    </row>
    <row r="205" spans="1:66" s="412" customFormat="1" ht="14.25" customHeight="1">
      <c r="A205" s="1797"/>
      <c r="B205" s="1941" t="s">
        <v>304</v>
      </c>
      <c r="C205" s="1942">
        <v>319</v>
      </c>
      <c r="D205" s="1942">
        <v>1</v>
      </c>
      <c r="E205" s="1943">
        <v>530</v>
      </c>
      <c r="F205" s="1944" t="s">
        <v>286</v>
      </c>
      <c r="G205" s="1798"/>
      <c r="H205" s="1799"/>
      <c r="I205" s="363"/>
      <c r="J205" s="363"/>
      <c r="K205" s="363"/>
      <c r="L205" s="363"/>
      <c r="M205" s="363"/>
      <c r="N205" s="363"/>
      <c r="O205" s="363"/>
      <c r="P205" s="363"/>
      <c r="Q205" s="363"/>
      <c r="R205" s="363"/>
      <c r="S205" s="363"/>
      <c r="T205" s="363"/>
      <c r="U205" s="363"/>
      <c r="V205" s="363"/>
      <c r="W205" s="363"/>
      <c r="X205" s="363"/>
      <c r="Y205" s="363"/>
      <c r="Z205" s="363"/>
      <c r="AA205" s="363"/>
      <c r="AB205" s="358"/>
      <c r="AC205" s="358"/>
      <c r="AD205" s="358"/>
      <c r="AE205" s="358"/>
      <c r="AF205" s="358"/>
      <c r="AG205" s="358"/>
      <c r="AH205" s="358"/>
      <c r="AI205" s="358"/>
      <c r="AJ205" s="358"/>
      <c r="AK205" s="358"/>
      <c r="AL205" s="358"/>
      <c r="AM205" s="358"/>
      <c r="AN205" s="358"/>
      <c r="AO205" s="358"/>
      <c r="AP205" s="358"/>
      <c r="AQ205" s="358"/>
      <c r="AR205" s="358"/>
      <c r="AS205" s="358"/>
      <c r="AT205" s="358"/>
      <c r="AU205" s="358"/>
      <c r="AV205" s="358"/>
      <c r="AW205" s="358"/>
      <c r="AX205" s="358"/>
      <c r="AY205" s="358"/>
      <c r="AZ205" s="358"/>
      <c r="BA205" s="358"/>
      <c r="BB205" s="358"/>
      <c r="BC205" s="363"/>
      <c r="BD205" s="363"/>
      <c r="BE205" s="363"/>
      <c r="BF205" s="363"/>
      <c r="BG205" s="363"/>
      <c r="BH205" s="363"/>
      <c r="BI205" s="363"/>
      <c r="BJ205" s="363"/>
      <c r="BK205" s="363"/>
      <c r="BL205" s="363"/>
      <c r="BM205" s="363"/>
      <c r="BN205" s="3493"/>
    </row>
    <row r="206" spans="1:66" s="412" customFormat="1" ht="14.25" customHeight="1">
      <c r="A206" s="1800"/>
      <c r="B206" s="1801"/>
      <c r="C206" s="1801"/>
      <c r="D206" s="1801"/>
      <c r="E206" s="1801"/>
      <c r="F206" s="1801"/>
      <c r="G206" s="1801"/>
      <c r="H206" s="1802"/>
      <c r="I206" s="363"/>
      <c r="J206" s="363"/>
      <c r="K206" s="363"/>
      <c r="L206" s="363"/>
      <c r="M206" s="363"/>
      <c r="N206" s="363"/>
      <c r="O206" s="363"/>
      <c r="P206" s="363"/>
      <c r="Q206" s="363"/>
      <c r="R206" s="363"/>
      <c r="S206" s="363"/>
      <c r="T206" s="363"/>
      <c r="U206" s="363"/>
      <c r="V206" s="363"/>
      <c r="W206" s="363"/>
      <c r="X206" s="363"/>
      <c r="Y206" s="363"/>
      <c r="Z206" s="363"/>
      <c r="AA206" s="363"/>
      <c r="AB206" s="358"/>
      <c r="AC206" s="358"/>
      <c r="AD206" s="358"/>
      <c r="AE206" s="358"/>
      <c r="AF206" s="358"/>
      <c r="AG206" s="358"/>
      <c r="AH206" s="358"/>
      <c r="AI206" s="358"/>
      <c r="AJ206" s="358"/>
      <c r="AK206" s="358"/>
      <c r="AL206" s="358"/>
      <c r="AM206" s="358"/>
      <c r="AN206" s="358"/>
      <c r="AO206" s="358"/>
      <c r="AP206" s="358"/>
      <c r="AQ206" s="358"/>
      <c r="AR206" s="358"/>
      <c r="AS206" s="358"/>
      <c r="AT206" s="358"/>
      <c r="AU206" s="358"/>
      <c r="AV206" s="358"/>
      <c r="AW206" s="358"/>
      <c r="AX206" s="358"/>
      <c r="AY206" s="358"/>
      <c r="AZ206" s="358"/>
      <c r="BA206" s="358"/>
      <c r="BB206" s="358"/>
      <c r="BC206" s="363"/>
      <c r="BD206" s="363"/>
      <c r="BE206" s="363"/>
      <c r="BF206" s="363"/>
      <c r="BG206" s="363"/>
      <c r="BH206" s="363"/>
      <c r="BI206" s="363"/>
      <c r="BJ206" s="363"/>
      <c r="BK206" s="363"/>
      <c r="BL206" s="363"/>
      <c r="BM206" s="363"/>
      <c r="BN206" s="3493"/>
    </row>
    <row r="207" spans="1:66">
      <c r="A207" s="363"/>
      <c r="B207" s="363"/>
      <c r="C207" s="363"/>
      <c r="D207" s="363"/>
      <c r="E207" s="363"/>
      <c r="F207" s="363"/>
      <c r="G207" s="363"/>
      <c r="H207" s="363"/>
      <c r="I207" s="363"/>
      <c r="J207" s="363"/>
      <c r="K207" s="363"/>
      <c r="L207" s="363"/>
      <c r="M207" s="363"/>
      <c r="N207" s="363"/>
      <c r="O207" s="363"/>
      <c r="P207" s="363"/>
      <c r="Q207" s="363"/>
      <c r="R207" s="363"/>
      <c r="S207" s="363"/>
      <c r="T207" s="363"/>
      <c r="U207" s="363"/>
      <c r="V207" s="363"/>
      <c r="W207" s="363"/>
      <c r="X207" s="363"/>
      <c r="Y207" s="363"/>
      <c r="Z207" s="363"/>
      <c r="AA207" s="363"/>
      <c r="AB207" s="3497"/>
      <c r="AC207" s="3497"/>
      <c r="AD207" s="3497"/>
      <c r="AE207" s="3497"/>
      <c r="AF207" s="3497"/>
      <c r="AG207" s="3497"/>
      <c r="AH207" s="3497"/>
      <c r="AI207" s="3497"/>
      <c r="AJ207" s="3497"/>
      <c r="AK207" s="3497"/>
      <c r="AL207" s="3497"/>
      <c r="AM207" s="3497"/>
      <c r="AN207" s="3497"/>
      <c r="AO207" s="3497"/>
      <c r="AP207" s="3497"/>
      <c r="AQ207" s="3497"/>
      <c r="AR207" s="3497"/>
      <c r="AS207" s="3497"/>
      <c r="AT207" s="3497"/>
      <c r="AU207" s="3497"/>
      <c r="AV207" s="3497"/>
      <c r="AW207" s="3497"/>
      <c r="AX207" s="3497"/>
      <c r="AY207" s="3497"/>
      <c r="AZ207" s="3497"/>
      <c r="BA207" s="3497"/>
      <c r="BB207" s="3497"/>
      <c r="BC207" s="363"/>
      <c r="BD207" s="363"/>
      <c r="BE207" s="363"/>
      <c r="BF207" s="363"/>
      <c r="BG207" s="363"/>
      <c r="BH207" s="363"/>
      <c r="BI207" s="363"/>
      <c r="BJ207" s="363"/>
      <c r="BK207" s="363"/>
      <c r="BL207" s="363"/>
      <c r="BM207" s="363"/>
      <c r="BN207" s="3493"/>
    </row>
  </sheetData>
  <sheetProtection password="FA80" sheet="1" objects="1" scenarios="1"/>
  <mergeCells count="232">
    <mergeCell ref="BK97:BL97"/>
    <mergeCell ref="BH100:BI100"/>
    <mergeCell ref="BF100:BG100"/>
    <mergeCell ref="BL1:BM1"/>
    <mergeCell ref="BK3:BM3"/>
    <mergeCell ref="BK2:BM2"/>
    <mergeCell ref="BG102:BH102"/>
    <mergeCell ref="BE91:BH91"/>
    <mergeCell ref="BC49:BF49"/>
    <mergeCell ref="BF99:BG99"/>
    <mergeCell ref="BH99:BI99"/>
    <mergeCell ref="BC47:BF47"/>
    <mergeCell ref="BC48:BF48"/>
    <mergeCell ref="BE92:BG92"/>
    <mergeCell ref="BC50:BF50"/>
    <mergeCell ref="BC54:BF54"/>
    <mergeCell ref="BC55:BF55"/>
    <mergeCell ref="BC51:BF51"/>
    <mergeCell ref="BC52:BF52"/>
    <mergeCell ref="BC53:BF53"/>
    <mergeCell ref="BC58:BF58"/>
    <mergeCell ref="BC59:BF59"/>
    <mergeCell ref="BC60:BF60"/>
    <mergeCell ref="BC61:BF61"/>
    <mergeCell ref="S90:U90"/>
    <mergeCell ref="S91:U91"/>
    <mergeCell ref="Z83:AA83"/>
    <mergeCell ref="S83:U84"/>
    <mergeCell ref="D86:E86"/>
    <mergeCell ref="M87:N87"/>
    <mergeCell ref="B80:G80"/>
    <mergeCell ref="D81:E81"/>
    <mergeCell ref="D82:E82"/>
    <mergeCell ref="F82:G82"/>
    <mergeCell ref="BJ47:BK47"/>
    <mergeCell ref="BJ48:BK48"/>
    <mergeCell ref="BJ49:BK49"/>
    <mergeCell ref="BJ50:BK50"/>
    <mergeCell ref="BJ51:BK51"/>
    <mergeCell ref="BJ52:BK52"/>
    <mergeCell ref="BJ53:BK53"/>
    <mergeCell ref="BJ54:BK54"/>
    <mergeCell ref="K85:L85"/>
    <mergeCell ref="V76:AA76"/>
    <mergeCell ref="X77:Y77"/>
    <mergeCell ref="BC63:BF63"/>
    <mergeCell ref="BC64:BF64"/>
    <mergeCell ref="BC65:BF65"/>
    <mergeCell ref="BC66:BF66"/>
    <mergeCell ref="BC67:BF67"/>
    <mergeCell ref="V83:W83"/>
    <mergeCell ref="X83:Y83"/>
    <mergeCell ref="AD82:AE82"/>
    <mergeCell ref="BC62:BF62"/>
    <mergeCell ref="BE85:BL85"/>
    <mergeCell ref="BC56:BF56"/>
    <mergeCell ref="BC57:BF57"/>
    <mergeCell ref="Q68:U68"/>
    <mergeCell ref="A93:B93"/>
    <mergeCell ref="K90:L90"/>
    <mergeCell ref="N90:O90"/>
    <mergeCell ref="J91:P92"/>
    <mergeCell ref="A63:A78"/>
    <mergeCell ref="E63:E64"/>
    <mergeCell ref="H68:I68"/>
    <mergeCell ref="H71:I71"/>
    <mergeCell ref="A148:B148"/>
    <mergeCell ref="D87:G87"/>
    <mergeCell ref="D88:F88"/>
    <mergeCell ref="D79:G79"/>
    <mergeCell ref="D83:E83"/>
    <mergeCell ref="A161:B161"/>
    <mergeCell ref="F175:G175"/>
    <mergeCell ref="A178:G178"/>
    <mergeCell ref="A181:B181"/>
    <mergeCell ref="B95:AA115"/>
    <mergeCell ref="J119:N119"/>
    <mergeCell ref="BE107:BF107"/>
    <mergeCell ref="BE108:BL110"/>
    <mergeCell ref="BE103:BF103"/>
    <mergeCell ref="BF113:BI113"/>
    <mergeCell ref="BJ113:BM113"/>
    <mergeCell ref="BF114:BI114"/>
    <mergeCell ref="BJ114:BM114"/>
    <mergeCell ref="BF115:BI115"/>
    <mergeCell ref="BJ115:BM115"/>
    <mergeCell ref="BF112:BI112"/>
    <mergeCell ref="J122:O122"/>
    <mergeCell ref="A116:J116"/>
    <mergeCell ref="BE104:BJ104"/>
    <mergeCell ref="BJ112:BM112"/>
    <mergeCell ref="BF116:BI116"/>
    <mergeCell ref="BJ116:BM116"/>
    <mergeCell ref="A118:B118"/>
    <mergeCell ref="B119:H119"/>
    <mergeCell ref="BE105:BJ105"/>
    <mergeCell ref="BG103:BH103"/>
    <mergeCell ref="H77:I77"/>
    <mergeCell ref="L77:M77"/>
    <mergeCell ref="R77:S77"/>
    <mergeCell ref="J78:O82"/>
    <mergeCell ref="P78:U82"/>
    <mergeCell ref="H76:I76"/>
    <mergeCell ref="J76:O76"/>
    <mergeCell ref="P76:U76"/>
    <mergeCell ref="S88:U88"/>
    <mergeCell ref="S85:U85"/>
    <mergeCell ref="BI102:BJ102"/>
    <mergeCell ref="BI103:BJ103"/>
    <mergeCell ref="V78:AA82"/>
    <mergeCell ref="S89:U89"/>
    <mergeCell ref="J84:M84"/>
    <mergeCell ref="BE102:BF102"/>
    <mergeCell ref="BF97:BI97"/>
    <mergeCell ref="H79:I81"/>
    <mergeCell ref="BE89:BL89"/>
    <mergeCell ref="BE87:BL87"/>
    <mergeCell ref="BE86:BL86"/>
    <mergeCell ref="BE88:BL88"/>
    <mergeCell ref="C195:H195"/>
    <mergeCell ref="I147:I148"/>
    <mergeCell ref="W68:AA68"/>
    <mergeCell ref="H69:I69"/>
    <mergeCell ref="J69:AA69"/>
    <mergeCell ref="H70:I70"/>
    <mergeCell ref="K70:O71"/>
    <mergeCell ref="Q70:U71"/>
    <mergeCell ref="A50:A62"/>
    <mergeCell ref="E50:E51"/>
    <mergeCell ref="B94:C94"/>
    <mergeCell ref="W70:AA71"/>
    <mergeCell ref="H75:I75"/>
    <mergeCell ref="H83:I87"/>
    <mergeCell ref="C84:E84"/>
    <mergeCell ref="F84:G84"/>
    <mergeCell ref="S92:U92"/>
    <mergeCell ref="D85:E85"/>
    <mergeCell ref="M86:N86"/>
    <mergeCell ref="H72:I72"/>
    <mergeCell ref="S86:U86"/>
    <mergeCell ref="H73:I73"/>
    <mergeCell ref="S87:U87"/>
    <mergeCell ref="H74:I74"/>
    <mergeCell ref="A23:A49"/>
    <mergeCell ref="C23:C24"/>
    <mergeCell ref="D23:D24"/>
    <mergeCell ref="F23:F24"/>
    <mergeCell ref="G23:G24"/>
    <mergeCell ref="J23:U23"/>
    <mergeCell ref="V23:AA24"/>
    <mergeCell ref="J24:O24"/>
    <mergeCell ref="P24:U24"/>
    <mergeCell ref="A15:B15"/>
    <mergeCell ref="D15:G15"/>
    <mergeCell ref="J15:L15"/>
    <mergeCell ref="P21:R21"/>
    <mergeCell ref="A20:I20"/>
    <mergeCell ref="A22:G22"/>
    <mergeCell ref="J22:U22"/>
    <mergeCell ref="V22:AA22"/>
    <mergeCell ref="AB20:BB20"/>
    <mergeCell ref="AB1:BB1"/>
    <mergeCell ref="A8:B8"/>
    <mergeCell ref="D8:G8"/>
    <mergeCell ref="A10:B10"/>
    <mergeCell ref="D10:G10"/>
    <mergeCell ref="J10:L10"/>
    <mergeCell ref="O9:P9"/>
    <mergeCell ref="A13:B13"/>
    <mergeCell ref="D13:H13"/>
    <mergeCell ref="I13:I14"/>
    <mergeCell ref="J13:L13"/>
    <mergeCell ref="A14:B14"/>
    <mergeCell ref="D14:H14"/>
    <mergeCell ref="J14:L14"/>
    <mergeCell ref="A3:B3"/>
    <mergeCell ref="C3:H3"/>
    <mergeCell ref="D4:G4"/>
    <mergeCell ref="N4:R5"/>
    <mergeCell ref="D5:H5"/>
    <mergeCell ref="A7:C7"/>
    <mergeCell ref="D7:H7"/>
    <mergeCell ref="J7:R7"/>
    <mergeCell ref="A1:B1"/>
    <mergeCell ref="A9:B9"/>
    <mergeCell ref="D9:G9"/>
    <mergeCell ref="J9:L9"/>
    <mergeCell ref="M9:N9"/>
    <mergeCell ref="J11:L11"/>
    <mergeCell ref="A12:B12"/>
    <mergeCell ref="D12:H12"/>
    <mergeCell ref="J12:L12"/>
    <mergeCell ref="Q9:R9"/>
    <mergeCell ref="A11:B11"/>
    <mergeCell ref="D11:G11"/>
    <mergeCell ref="J8:R8"/>
    <mergeCell ref="U2:U13"/>
    <mergeCell ref="AA17:BE17"/>
    <mergeCell ref="BD18:BF18"/>
    <mergeCell ref="AW24:BB24"/>
    <mergeCell ref="BC28:BF28"/>
    <mergeCell ref="BC29:BF29"/>
    <mergeCell ref="AK25:AP25"/>
    <mergeCell ref="AQ25:AV25"/>
    <mergeCell ref="AW25:BB25"/>
    <mergeCell ref="BC27:BF27"/>
    <mergeCell ref="V18:Z20"/>
    <mergeCell ref="BD2:BD9"/>
    <mergeCell ref="M1:S1"/>
    <mergeCell ref="BC32:BF32"/>
    <mergeCell ref="BC33:BF33"/>
    <mergeCell ref="BC34:BF34"/>
    <mergeCell ref="BC30:BF30"/>
    <mergeCell ref="K68:O68"/>
    <mergeCell ref="L18:O18"/>
    <mergeCell ref="BH46:BL46"/>
    <mergeCell ref="BH17:BK17"/>
    <mergeCell ref="BC31:BF31"/>
    <mergeCell ref="BC37:BF37"/>
    <mergeCell ref="BC38:BF38"/>
    <mergeCell ref="BC35:BF35"/>
    <mergeCell ref="BC36:BF36"/>
    <mergeCell ref="BC41:BF41"/>
    <mergeCell ref="BC42:BF42"/>
    <mergeCell ref="BC43:BF43"/>
    <mergeCell ref="BC44:BF44"/>
    <mergeCell ref="BC39:BF39"/>
    <mergeCell ref="BC40:BF40"/>
    <mergeCell ref="BC45:BF45"/>
    <mergeCell ref="BC46:BF46"/>
    <mergeCell ref="L21:N21"/>
    <mergeCell ref="P18:R18"/>
  </mergeCells>
  <conditionalFormatting sqref="V78">
    <cfRule type="cellIs" dxfId="73" priority="23" stopIfTrue="1" operator="lessThan">
      <formula>"$AP$68"</formula>
    </cfRule>
  </conditionalFormatting>
  <conditionalFormatting sqref="C85">
    <cfRule type="cellIs" dxfId="72" priority="21" stopIfTrue="1" operator="greaterThan">
      <formula>4</formula>
    </cfRule>
    <cfRule type="cellIs" dxfId="71" priority="22" stopIfTrue="1" operator="between">
      <formula>2.75</formula>
      <formula>4</formula>
    </cfRule>
  </conditionalFormatting>
  <conditionalFormatting sqref="C87 C5">
    <cfRule type="cellIs" dxfId="70" priority="17" operator="notEqual">
      <formula>75</formula>
    </cfRule>
    <cfRule type="cellIs" dxfId="69" priority="18" operator="notEqual">
      <formula>75</formula>
    </cfRule>
    <cfRule type="cellIs" dxfId="68" priority="19" operator="notEqual">
      <formula>75</formula>
    </cfRule>
    <cfRule type="cellIs" dxfId="67" priority="20" operator="notEqual">
      <formula>75</formula>
    </cfRule>
  </conditionalFormatting>
  <conditionalFormatting sqref="C87 C5">
    <cfRule type="cellIs" dxfId="66" priority="16" operator="notEqual">
      <formula>75</formula>
    </cfRule>
  </conditionalFormatting>
  <conditionalFormatting sqref="C87 C5">
    <cfRule type="cellIs" dxfId="65" priority="13" operator="notEqual">
      <formula>75</formula>
    </cfRule>
    <cfRule type="cellIs" dxfId="64" priority="14" operator="notEqual">
      <formula>75</formula>
    </cfRule>
    <cfRule type="cellIs" dxfId="63" priority="15" operator="notEqual">
      <formula>75</formula>
    </cfRule>
  </conditionalFormatting>
  <conditionalFormatting sqref="C87 C5">
    <cfRule type="cellIs" dxfId="62" priority="11" operator="notEqual">
      <formula>75</formula>
    </cfRule>
    <cfRule type="cellIs" dxfId="61" priority="12" operator="notEqual">
      <formula>75</formula>
    </cfRule>
  </conditionalFormatting>
  <conditionalFormatting sqref="C5">
    <cfRule type="cellIs" dxfId="60" priority="4" operator="notEqual">
      <formula>75</formula>
    </cfRule>
    <cfRule type="cellIs" dxfId="59" priority="5" operator="notEqual">
      <formula>75</formula>
    </cfRule>
    <cfRule type="cellIs" dxfId="58" priority="6" operator="notEqual">
      <formula>75</formula>
    </cfRule>
    <cfRule type="cellIs" dxfId="57" priority="7" operator="notEqual">
      <formula>75</formula>
    </cfRule>
    <cfRule type="cellIs" dxfId="56" priority="8" operator="notEqual">
      <formula>75</formula>
    </cfRule>
    <cfRule type="cellIs" dxfId="55" priority="9" operator="notEqual">
      <formula>75</formula>
    </cfRule>
    <cfRule type="cellIs" dxfId="54" priority="10" operator="notEqual">
      <formula>75</formula>
    </cfRule>
  </conditionalFormatting>
  <conditionalFormatting sqref="W72:AA72">
    <cfRule type="cellIs" dxfId="53" priority="3" operator="greaterThan">
      <formula>V72</formula>
    </cfRule>
  </conditionalFormatting>
  <conditionalFormatting sqref="K72:O72">
    <cfRule type="cellIs" dxfId="52" priority="2" operator="greaterThan">
      <formula>J72</formula>
    </cfRule>
  </conditionalFormatting>
  <conditionalFormatting sqref="Q72:U72">
    <cfRule type="cellIs" dxfId="51" priority="1" operator="greaterThan">
      <formula>P72</formula>
    </cfRule>
  </conditionalFormatting>
  <hyperlinks>
    <hyperlink ref="C3" location="'Extract Calc'!B98" display="Technical Section"/>
    <hyperlink ref="C13" location="Extract!P24" display="Extract!P24"/>
    <hyperlink ref="C14" location="Extract!V23" display="Extract!V23"/>
    <hyperlink ref="H76" location="'Extract Calc'!O99" display="See the Hop Settings"/>
    <hyperlink ref="D81" location="'Extract Calc'!B79" display="g/litre"/>
    <hyperlink ref="V116" r:id="rId1" display="www.yobrew.co.uk"/>
    <hyperlink ref="G127" r:id="rId2" display="www.PetesPintPot.co.uk"/>
    <hyperlink ref="G128" r:id="rId3" display="www.colchesterhomebrew.co.uk"/>
    <hyperlink ref="G137" r:id="rId4" display="www.yobrew.co.uk"/>
    <hyperlink ref="G138" r:id="rId5" display="www.yobrew.co.uk"/>
    <hyperlink ref="C3:I3" location="Extract!B100" display="To amend / modify any data, please refer to the &quot;Technical Section&quot;."/>
    <hyperlink ref="C12" location="Extract!K24" display="Extract!K24"/>
    <hyperlink ref="H82" location="Extract!K84" display="See the Hop Settings"/>
    <hyperlink ref="C3:H3" location="Extract!A118" display="To amend ̸ modify any data, please refer to the &quot;Technical Section&quot;."/>
    <hyperlink ref="I29" location="'Extract Calc'!I66" display="Malt/iso-hop extract bitterness"/>
    <hyperlink ref="B81" location="Extract!AN17" display="Extract!AN17"/>
    <hyperlink ref="H169" location="Extract!B80" display="See cell B80."/>
    <hyperlink ref="D87" location="'Beer Data Sheet'!AO4" display=" (76% nominally)"/>
    <hyperlink ref="D87:F87" location="'Beer Data Sheet'!AN4" display=" (76% nominally)"/>
    <hyperlink ref="BK2" r:id="rId6"/>
    <hyperlink ref="I13:I14" location="Extract!BD3" display="Extract!BD3"/>
    <hyperlink ref="J69:AA69" location="Extract!J90" display="See cell J90 etc. for the Isomerised hop extract settings."/>
    <hyperlink ref="D81:E81" location="Extract!BE85" display="g ̸ litre"/>
    <hyperlink ref="L21:N21" location="Extract!C5" display="Dependant on cell C5"/>
    <hyperlink ref="BJ113" r:id="rId7"/>
    <hyperlink ref="BJ116" r:id="rId8"/>
    <hyperlink ref="BJ116:BK116" r:id="rId9" display="www.yobrew.co.uk"/>
    <hyperlink ref="BJ114" r:id="rId10" display="david.barrow@live.co.uk"/>
    <hyperlink ref="BJ115" r:id="rId11"/>
    <hyperlink ref="BE89" location="'Primer'!D1" display="Priming Calc's. For Beers Etc."/>
    <hyperlink ref="BE91" location="'Beer Data Sheet'!P20" display="=&quot;1 level 5ml tsp sugar = &quot;&amp;'Beer Data Sheet'!P20&amp;&quot;g&quot;"/>
    <hyperlink ref="BE89:BI89" location="Primer!F1" display="For more information about &quot;carbonation&quot; see &quot;Beer Primer&quot; page."/>
    <hyperlink ref="J91:P92" location="'Beer Data Sheet'!T16" display=" Note:- 1 ml of Ritchie's hop extract in 1 litre of beer adds 69 EBU's. See &quot;Beer Data Sheet&quot; cell T16."/>
    <hyperlink ref="H76:I76" location="Extract!J90" display="Malt ̸ iso-hop extract bitterness"/>
  </hyperlinks>
  <printOptions horizontalCentered="1"/>
  <pageMargins left="0.59055118110236227" right="0.59055118110236227" top="0.27559055118110237" bottom="0.43307086614173229" header="0.23622047244094491" footer="0.35433070866141736"/>
  <pageSetup paperSize="9" scale="33" orientation="landscape" horizontalDpi="30066" verticalDpi="26478" r:id="rId12"/>
  <headerFooter alignWithMargins="0"/>
  <drawing r:id="rId13"/>
</worksheet>
</file>

<file path=xl/worksheets/sheet5.xml><?xml version="1.0" encoding="utf-8"?>
<worksheet xmlns="http://schemas.openxmlformats.org/spreadsheetml/2006/main" xmlns:r="http://schemas.openxmlformats.org/officeDocument/2006/relationships">
  <sheetPr>
    <tabColor rgb="FFFF0000"/>
    <pageSetUpPr fitToPage="1"/>
  </sheetPr>
  <dimension ref="A1:CB125"/>
  <sheetViews>
    <sheetView zoomScale="75" zoomScaleNormal="75" zoomScaleSheetLayoutView="75" workbookViewId="0">
      <pane ySplit="27" topLeftCell="A109" activePane="bottomLeft" state="frozen"/>
      <selection pane="bottomLeft" activeCell="K6" sqref="K6:K7"/>
    </sheetView>
  </sheetViews>
  <sheetFormatPr defaultColWidth="10.7109375" defaultRowHeight="15"/>
  <cols>
    <col min="1" max="1" width="4.42578125" style="473" customWidth="1"/>
    <col min="2" max="2" width="37.5703125" style="473" customWidth="1"/>
    <col min="3" max="3" width="10.42578125" style="342" customWidth="1"/>
    <col min="4" max="4" width="10.42578125" style="473" customWidth="1"/>
    <col min="5" max="6" width="10.5703125" style="473" customWidth="1"/>
    <col min="7" max="7" width="24.28515625" style="473" customWidth="1"/>
    <col min="8" max="8" width="11.85546875" style="473" customWidth="1"/>
    <col min="9" max="26" width="10.7109375" style="473" customWidth="1"/>
    <col min="27" max="27" width="14.5703125" style="473" customWidth="1"/>
    <col min="28" max="28" width="1.5703125" style="473" customWidth="1"/>
    <col min="29" max="51" width="10.7109375" style="473" hidden="1" customWidth="1"/>
    <col min="52" max="52" width="10.7109375" style="105" hidden="1" customWidth="1"/>
    <col min="53" max="53" width="10.7109375" style="105"/>
    <col min="54" max="54" width="11.28515625" style="105" customWidth="1"/>
    <col min="55" max="55" width="10.5703125" style="105" customWidth="1"/>
    <col min="56" max="61" width="9.42578125" style="105" customWidth="1"/>
    <col min="62" max="62" width="8.7109375" style="105" customWidth="1"/>
    <col min="63" max="63" width="8" style="309" customWidth="1"/>
    <col min="64" max="64" width="4.28515625" style="309" customWidth="1"/>
    <col min="65" max="79" width="7.85546875" style="309" customWidth="1"/>
    <col min="80" max="80" width="2.85546875" style="309" customWidth="1"/>
    <col min="81" max="16384" width="10.7109375" style="309"/>
  </cols>
  <sheetData>
    <row r="1" spans="1:80" ht="15" customHeight="1">
      <c r="A1" s="4888" t="s">
        <v>1918</v>
      </c>
      <c r="B1" s="4888"/>
      <c r="C1" s="363"/>
      <c r="D1" s="514"/>
      <c r="E1" s="514"/>
      <c r="F1" s="514"/>
      <c r="G1" s="514"/>
      <c r="H1" s="514"/>
      <c r="I1" s="514"/>
      <c r="J1" s="514"/>
      <c r="K1" s="514"/>
      <c r="L1" s="514"/>
      <c r="M1" s="514"/>
      <c r="N1" s="514"/>
      <c r="O1" s="4683" t="s">
        <v>1898</v>
      </c>
      <c r="P1" s="4683"/>
      <c r="Q1" s="4683"/>
      <c r="R1" s="4683"/>
      <c r="S1" s="4683"/>
      <c r="T1" s="514"/>
      <c r="U1" s="514"/>
      <c r="V1" s="514"/>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107"/>
      <c r="BA1" s="107"/>
      <c r="BB1" s="107"/>
      <c r="BC1" s="107"/>
      <c r="BD1" s="107"/>
      <c r="BE1" s="107"/>
      <c r="BF1" s="107"/>
      <c r="BG1" s="4675" t="s">
        <v>307</v>
      </c>
      <c r="BH1" s="4675"/>
      <c r="BI1" s="4775" t="s">
        <v>1917</v>
      </c>
      <c r="BJ1" s="4775"/>
      <c r="BK1" s="3439"/>
      <c r="BL1" s="323"/>
      <c r="BM1" s="4777" t="s">
        <v>324</v>
      </c>
      <c r="BN1" s="4777"/>
      <c r="BO1" s="4777"/>
      <c r="BP1" s="323"/>
      <c r="BQ1" s="323"/>
      <c r="BR1" s="323"/>
      <c r="BS1" s="323"/>
      <c r="BT1" s="323"/>
      <c r="BU1" s="323"/>
      <c r="BV1" s="323"/>
      <c r="BW1" s="323"/>
      <c r="BX1" s="323"/>
      <c r="BY1" s="323"/>
      <c r="BZ1" s="323"/>
      <c r="CA1" s="4774" t="s">
        <v>649</v>
      </c>
      <c r="CB1" s="4774"/>
    </row>
    <row r="2" spans="1:80" ht="13.5" customHeight="1">
      <c r="A2" s="3443"/>
      <c r="B2" s="3443"/>
      <c r="C2" s="3443"/>
      <c r="D2" s="3444"/>
      <c r="E2" s="3444"/>
      <c r="F2" s="3444"/>
      <c r="G2" s="3444"/>
      <c r="H2" s="3444"/>
      <c r="I2" s="3445"/>
      <c r="J2" s="3436"/>
      <c r="K2" s="3436"/>
      <c r="L2" s="3436"/>
      <c r="M2" s="3436"/>
      <c r="N2" s="514"/>
      <c r="O2" s="4683"/>
      <c r="P2" s="4683"/>
      <c r="Q2" s="4683"/>
      <c r="R2" s="4683"/>
      <c r="S2" s="4683"/>
      <c r="T2" s="601"/>
      <c r="U2" s="3440"/>
      <c r="V2" s="3440"/>
      <c r="W2" s="3440"/>
      <c r="X2" s="3440"/>
      <c r="Y2" s="3441"/>
      <c r="Z2" s="322"/>
      <c r="AA2" s="322"/>
      <c r="AB2" s="322"/>
      <c r="AC2" s="618"/>
      <c r="AD2" s="3442"/>
      <c r="AE2" s="3442"/>
      <c r="AF2" s="3442"/>
      <c r="AG2" s="3442"/>
      <c r="AH2" s="3442"/>
      <c r="AI2" s="3442"/>
      <c r="AJ2" s="3442"/>
      <c r="AK2" s="3442"/>
      <c r="AL2" s="3442"/>
      <c r="AM2" s="3442"/>
      <c r="AN2" s="3442"/>
      <c r="AO2" s="3442"/>
      <c r="AP2" s="3442"/>
      <c r="AQ2" s="3442"/>
      <c r="AR2" s="3442"/>
      <c r="AS2" s="3442"/>
      <c r="AT2" s="3442"/>
      <c r="AU2" s="3442"/>
      <c r="AV2" s="3442"/>
      <c r="AW2" s="3442"/>
      <c r="AX2" s="3442"/>
      <c r="AY2" s="3442"/>
      <c r="AZ2" s="3442"/>
      <c r="BA2" s="601"/>
      <c r="BB2" s="601"/>
      <c r="BC2" s="601"/>
      <c r="BD2" s="601"/>
      <c r="BE2" s="601"/>
      <c r="BF2" s="601"/>
      <c r="BG2" s="601"/>
      <c r="BH2" s="601"/>
      <c r="BI2" s="601"/>
      <c r="BJ2" s="601"/>
      <c r="BK2" s="602"/>
      <c r="BL2" s="325"/>
      <c r="BM2" s="325">
        <v>1000</v>
      </c>
      <c r="BN2" s="325">
        <f>BM2+10</f>
        <v>1010</v>
      </c>
      <c r="BO2" s="325">
        <f t="shared" ref="BO2:BZ2" si="0">BN2+10</f>
        <v>1020</v>
      </c>
      <c r="BP2" s="325">
        <f t="shared" si="0"/>
        <v>1030</v>
      </c>
      <c r="BQ2" s="325">
        <f t="shared" si="0"/>
        <v>1040</v>
      </c>
      <c r="BR2" s="325">
        <f t="shared" si="0"/>
        <v>1050</v>
      </c>
      <c r="BS2" s="325">
        <f t="shared" si="0"/>
        <v>1060</v>
      </c>
      <c r="BT2" s="325">
        <f t="shared" si="0"/>
        <v>1070</v>
      </c>
      <c r="BU2" s="325">
        <f t="shared" si="0"/>
        <v>1080</v>
      </c>
      <c r="BV2" s="325">
        <f t="shared" si="0"/>
        <v>1090</v>
      </c>
      <c r="BW2" s="325">
        <f t="shared" si="0"/>
        <v>1100</v>
      </c>
      <c r="BX2" s="325">
        <f t="shared" si="0"/>
        <v>1110</v>
      </c>
      <c r="BY2" s="325">
        <f t="shared" si="0"/>
        <v>1120</v>
      </c>
      <c r="BZ2" s="325">
        <f t="shared" si="0"/>
        <v>1130</v>
      </c>
      <c r="CA2" s="1889">
        <v>1140</v>
      </c>
      <c r="CB2" s="324"/>
    </row>
    <row r="3" spans="1:80" ht="13.5" customHeight="1">
      <c r="A3" s="108"/>
      <c r="B3" s="475"/>
      <c r="C3" s="1883"/>
      <c r="D3" s="472"/>
      <c r="E3" s="472"/>
      <c r="F3" s="109"/>
      <c r="G3" s="524"/>
      <c r="H3" s="109"/>
      <c r="I3" s="109"/>
      <c r="J3" s="109"/>
      <c r="K3" s="109"/>
      <c r="L3" s="474"/>
      <c r="M3" s="474"/>
      <c r="N3" s="474"/>
      <c r="O3" s="474"/>
      <c r="P3" s="474"/>
      <c r="Q3" s="474"/>
      <c r="R3" s="1871"/>
      <c r="S3" s="1872"/>
      <c r="T3" s="1872"/>
      <c r="U3" s="3428"/>
      <c r="V3" s="3428"/>
      <c r="W3" s="3428"/>
      <c r="X3" s="1877"/>
      <c r="Y3" s="603"/>
      <c r="Z3" s="524"/>
      <c r="AA3" s="603"/>
      <c r="AB3" s="603"/>
      <c r="AC3" s="3431"/>
      <c r="AD3" s="3432"/>
      <c r="AE3" s="3432"/>
      <c r="AF3" s="3432"/>
      <c r="AG3" s="3432"/>
      <c r="AH3" s="3432"/>
      <c r="AI3" s="3432"/>
      <c r="AJ3" s="3432"/>
      <c r="AK3" s="3432"/>
      <c r="AL3" s="3432"/>
      <c r="AM3" s="3432"/>
      <c r="AN3" s="3432"/>
      <c r="AO3" s="3432"/>
      <c r="AP3" s="3432"/>
      <c r="AQ3" s="3432"/>
      <c r="AR3" s="3432"/>
      <c r="AS3" s="3432"/>
      <c r="AT3" s="3432"/>
      <c r="AU3" s="3432"/>
      <c r="AV3" s="3432"/>
      <c r="AW3" s="3432"/>
      <c r="AX3" s="3432"/>
      <c r="AY3" s="3432"/>
      <c r="AZ3" s="3432"/>
      <c r="BA3" s="346"/>
      <c r="BB3" s="107"/>
      <c r="BC3" s="3429"/>
      <c r="BD3" s="3429"/>
      <c r="BE3" s="3429"/>
      <c r="BF3" s="3429"/>
      <c r="BG3" s="3427"/>
      <c r="BH3" s="4676" t="s">
        <v>1</v>
      </c>
      <c r="BI3" s="4676"/>
      <c r="BJ3" s="4676"/>
      <c r="BK3" s="4928" t="s">
        <v>327</v>
      </c>
      <c r="BL3" s="325">
        <v>0</v>
      </c>
      <c r="BM3" s="326">
        <f t="shared" ref="BM3:CA12" si="1">165*POWER(0.000125,(BM$2)/1000-1)*(1-EXP(-$C$123*$BL3))/$D$123</f>
        <v>0</v>
      </c>
      <c r="BN3" s="326">
        <f t="shared" si="1"/>
        <v>0</v>
      </c>
      <c r="BO3" s="326">
        <f t="shared" si="1"/>
        <v>0</v>
      </c>
      <c r="BP3" s="326">
        <f t="shared" si="1"/>
        <v>0</v>
      </c>
      <c r="BQ3" s="326">
        <f t="shared" si="1"/>
        <v>0</v>
      </c>
      <c r="BR3" s="326">
        <f t="shared" si="1"/>
        <v>0</v>
      </c>
      <c r="BS3" s="326">
        <f t="shared" si="1"/>
        <v>0</v>
      </c>
      <c r="BT3" s="326">
        <f t="shared" si="1"/>
        <v>0</v>
      </c>
      <c r="BU3" s="326">
        <f t="shared" si="1"/>
        <v>0</v>
      </c>
      <c r="BV3" s="326">
        <f t="shared" si="1"/>
        <v>0</v>
      </c>
      <c r="BW3" s="326">
        <f t="shared" si="1"/>
        <v>0</v>
      </c>
      <c r="BX3" s="326">
        <f t="shared" si="1"/>
        <v>0</v>
      </c>
      <c r="BY3" s="326">
        <f t="shared" si="1"/>
        <v>0</v>
      </c>
      <c r="BZ3" s="326">
        <f t="shared" si="1"/>
        <v>0</v>
      </c>
      <c r="CA3" s="326">
        <f t="shared" si="1"/>
        <v>0</v>
      </c>
      <c r="CB3" s="324"/>
    </row>
    <row r="4" spans="1:80" ht="13.5" customHeight="1">
      <c r="A4" s="4868" t="s">
        <v>306</v>
      </c>
      <c r="B4" s="4868"/>
      <c r="C4" s="4868"/>
      <c r="D4" s="479"/>
      <c r="E4" s="480"/>
      <c r="F4" s="480"/>
      <c r="G4" s="480"/>
      <c r="H4" s="480"/>
      <c r="I4" s="480"/>
      <c r="J4" s="480"/>
      <c r="K4" s="480"/>
      <c r="L4" s="599"/>
      <c r="M4" s="480"/>
      <c r="N4" s="480"/>
      <c r="O4" s="480"/>
      <c r="P4" s="480"/>
      <c r="Q4" s="480"/>
      <c r="R4" s="514"/>
      <c r="S4" s="1872"/>
      <c r="T4" s="1872"/>
      <c r="U4" s="1877"/>
      <c r="V4" s="1877"/>
      <c r="W4" s="1877"/>
      <c r="X4" s="320"/>
      <c r="Y4" s="1885"/>
      <c r="Z4" s="107"/>
      <c r="AA4" s="107"/>
      <c r="AB4" s="107"/>
      <c r="AC4" s="2773"/>
      <c r="AD4" s="2773"/>
      <c r="AE4" s="2773"/>
      <c r="AF4" s="2773"/>
      <c r="AG4" s="2773"/>
      <c r="AH4" s="2773"/>
      <c r="AI4" s="2773"/>
      <c r="AJ4" s="2773"/>
      <c r="AK4" s="2773"/>
      <c r="AL4" s="4821"/>
      <c r="AM4" s="4821"/>
      <c r="AN4" s="4821"/>
      <c r="AO4" s="4821"/>
      <c r="AP4" s="4821"/>
      <c r="AQ4" s="4821"/>
      <c r="AR4" s="3433"/>
      <c r="AS4" s="3433"/>
      <c r="AT4" s="3433"/>
      <c r="AU4" s="3433"/>
      <c r="AV4" s="3434"/>
      <c r="AW4" s="3433"/>
      <c r="AX4" s="3433"/>
      <c r="AY4" s="3433"/>
      <c r="AZ4" s="3433"/>
      <c r="BA4" s="107"/>
      <c r="BB4" s="515"/>
      <c r="BC4" s="1875"/>
      <c r="BD4" s="1875"/>
      <c r="BE4" s="1875"/>
      <c r="BF4" s="1875"/>
      <c r="BG4" s="1875"/>
      <c r="BH4" s="110"/>
      <c r="BI4" s="590"/>
      <c r="BJ4" s="310"/>
      <c r="BK4" s="4928"/>
      <c r="BL4" s="325">
        <f>CB11+5</f>
        <v>5</v>
      </c>
      <c r="BM4" s="326">
        <f t="shared" si="1"/>
        <v>7.2070905402730112</v>
      </c>
      <c r="BN4" s="326">
        <f t="shared" si="1"/>
        <v>6.5876281716873537</v>
      </c>
      <c r="BO4" s="326">
        <f t="shared" si="1"/>
        <v>6.0214097056098543</v>
      </c>
      <c r="BP4" s="326">
        <f t="shared" si="1"/>
        <v>5.5038587330477089</v>
      </c>
      <c r="BQ4" s="326">
        <f t="shared" si="1"/>
        <v>5.0307921955756498</v>
      </c>
      <c r="BR4" s="326">
        <f t="shared" si="1"/>
        <v>4.5983865761486076</v>
      </c>
      <c r="BS4" s="326">
        <f t="shared" si="1"/>
        <v>4.2031469958747074</v>
      </c>
      <c r="BT4" s="326">
        <f t="shared" si="1"/>
        <v>3.8418789669760982</v>
      </c>
      <c r="BU4" s="326">
        <f t="shared" si="1"/>
        <v>3.5116625736335121</v>
      </c>
      <c r="BV4" s="326">
        <f t="shared" si="1"/>
        <v>3.2098288720335573</v>
      </c>
      <c r="BW4" s="326">
        <f t="shared" si="1"/>
        <v>2.9339383188743331</v>
      </c>
      <c r="BX4" s="326">
        <f t="shared" si="1"/>
        <v>2.6817610539796886</v>
      </c>
      <c r="BY4" s="326">
        <f t="shared" si="1"/>
        <v>2.4512588776581885</v>
      </c>
      <c r="BZ4" s="326">
        <f t="shared" si="1"/>
        <v>2.2405687771404268</v>
      </c>
      <c r="CA4" s="326">
        <f t="shared" si="1"/>
        <v>2.0479878689486033</v>
      </c>
      <c r="CB4" s="327"/>
    </row>
    <row r="5" spans="1:80" ht="13.5" customHeight="1">
      <c r="A5" s="108"/>
      <c r="B5" s="3507" t="s">
        <v>2</v>
      </c>
      <c r="C5" s="4778" t="s">
        <v>3</v>
      </c>
      <c r="D5" s="4778"/>
      <c r="E5" s="4778"/>
      <c r="F5" s="4778"/>
      <c r="G5" s="4778"/>
      <c r="H5" s="353"/>
      <c r="I5" s="481"/>
      <c r="J5" s="481"/>
      <c r="K5" s="481"/>
      <c r="L5" s="480"/>
      <c r="M5" s="482"/>
      <c r="N5" s="482"/>
      <c r="O5" s="482"/>
      <c r="P5" s="482"/>
      <c r="Q5" s="482"/>
      <c r="R5" s="1873"/>
      <c r="S5" s="1873"/>
      <c r="T5" s="1873"/>
      <c r="U5" s="1873"/>
      <c r="V5" s="1873"/>
      <c r="W5" s="1873"/>
      <c r="X5" s="1873"/>
      <c r="Y5" s="1873"/>
      <c r="Z5" s="1878"/>
      <c r="AA5" s="474"/>
      <c r="AB5" s="474"/>
      <c r="AC5" s="3434"/>
      <c r="AD5" s="3434"/>
      <c r="AE5" s="3434"/>
      <c r="AF5" s="3433"/>
      <c r="AG5" s="3433"/>
      <c r="AH5" s="3433"/>
      <c r="AI5" s="3433"/>
      <c r="AJ5" s="3433"/>
      <c r="AK5" s="3433"/>
      <c r="AL5" s="3433"/>
      <c r="AM5" s="3433"/>
      <c r="AN5" s="3433"/>
      <c r="AO5" s="3433"/>
      <c r="AP5" s="3433"/>
      <c r="AQ5" s="3433"/>
      <c r="AR5" s="3433"/>
      <c r="AS5" s="3433"/>
      <c r="AT5" s="3433"/>
      <c r="AU5" s="3433"/>
      <c r="AV5" s="3434"/>
      <c r="AW5" s="3433"/>
      <c r="AX5" s="3433"/>
      <c r="AY5" s="3433"/>
      <c r="AZ5" s="3433"/>
      <c r="BA5" s="602"/>
      <c r="BB5" s="313"/>
      <c r="BC5" s="345"/>
      <c r="BD5" s="345"/>
      <c r="BE5" s="345"/>
      <c r="BF5" s="345"/>
      <c r="BG5" s="587"/>
      <c r="BH5" s="110"/>
      <c r="BI5" s="4728"/>
      <c r="BJ5" s="310"/>
      <c r="BK5" s="4928"/>
      <c r="BL5" s="325">
        <f t="shared" ref="BL5:BL15" si="2">BL4+5</f>
        <v>10</v>
      </c>
      <c r="BM5" s="326">
        <f t="shared" si="1"/>
        <v>13.107757205811929</v>
      </c>
      <c r="BN5" s="326">
        <f t="shared" si="1"/>
        <v>11.981121945690669</v>
      </c>
      <c r="BO5" s="326">
        <f t="shared" si="1"/>
        <v>10.951323008474876</v>
      </c>
      <c r="BP5" s="326">
        <f t="shared" si="1"/>
        <v>10.010037138390684</v>
      </c>
      <c r="BQ5" s="326">
        <f t="shared" si="1"/>
        <v>9.149656478438132</v>
      </c>
      <c r="BR5" s="326">
        <f t="shared" si="1"/>
        <v>8.3632270805824369</v>
      </c>
      <c r="BS5" s="326">
        <f t="shared" si="1"/>
        <v>7.6443927011046613</v>
      </c>
      <c r="BT5" s="326">
        <f t="shared" si="1"/>
        <v>6.9873434268428953</v>
      </c>
      <c r="BU5" s="326">
        <f t="shared" si="1"/>
        <v>6.3867687171002387</v>
      </c>
      <c r="BV5" s="326">
        <f t="shared" si="1"/>
        <v>5.8378144816850392</v>
      </c>
      <c r="BW5" s="326">
        <f t="shared" si="1"/>
        <v>5.3360438481706627</v>
      </c>
      <c r="BX5" s="326">
        <f t="shared" si="1"/>
        <v>4.8774013012796793</v>
      </c>
      <c r="BY5" s="326">
        <f t="shared" si="1"/>
        <v>4.4581799045523649</v>
      </c>
      <c r="BZ5" s="326">
        <f t="shared" si="1"/>
        <v>4.0749913393716204</v>
      </c>
      <c r="CA5" s="326">
        <f t="shared" si="1"/>
        <v>3.724738519187464</v>
      </c>
      <c r="CB5" s="327"/>
    </row>
    <row r="6" spans="1:80" ht="13.5" customHeight="1">
      <c r="A6" s="108"/>
      <c r="B6" s="112" t="s">
        <v>308</v>
      </c>
      <c r="C6" s="2558">
        <v>23</v>
      </c>
      <c r="D6" s="4320" t="str">
        <f>"≈ "&amp;FIXED(C6*1.76)&amp;" UK pt. ̸ "&amp;FIXED(C6*1.76*6/5)&amp;" US pt."</f>
        <v>≈ 40.48 UK pt. ̸ 48.58 US pt.</v>
      </c>
      <c r="E6" s="4320"/>
      <c r="F6" s="4320"/>
      <c r="G6" s="356" t="s">
        <v>5</v>
      </c>
      <c r="H6" s="2557">
        <v>20</v>
      </c>
      <c r="I6" s="3494" t="s">
        <v>309</v>
      </c>
      <c r="J6" s="3494"/>
      <c r="K6" s="3857" t="s">
        <v>722</v>
      </c>
      <c r="L6" s="4694" t="s">
        <v>7</v>
      </c>
      <c r="M6" s="4695"/>
      <c r="N6" s="4695"/>
      <c r="O6" s="4695"/>
      <c r="P6" s="591"/>
      <c r="Q6" s="591"/>
      <c r="R6" s="1874"/>
      <c r="S6" s="1874"/>
      <c r="T6" s="514"/>
      <c r="U6" s="514"/>
      <c r="V6" s="514"/>
      <c r="W6" s="1874"/>
      <c r="X6" s="484"/>
      <c r="Y6" s="3525"/>
      <c r="Z6" s="1878"/>
      <c r="AA6" s="485"/>
      <c r="AB6" s="485"/>
      <c r="AC6" s="476"/>
      <c r="AD6" s="476"/>
      <c r="AE6" s="476"/>
      <c r="AF6" s="477"/>
      <c r="AG6" s="477"/>
      <c r="AH6" s="477"/>
      <c r="AI6" s="477"/>
      <c r="AJ6" s="477"/>
      <c r="AK6" s="477"/>
      <c r="AL6" s="477"/>
      <c r="AM6" s="477"/>
      <c r="AN6" s="477"/>
      <c r="AO6" s="477"/>
      <c r="AP6" s="477"/>
      <c r="AQ6" s="477"/>
      <c r="AR6" s="477"/>
      <c r="AS6" s="477"/>
      <c r="AT6" s="477"/>
      <c r="AU6" s="477"/>
      <c r="AV6" s="476"/>
      <c r="AW6" s="477"/>
      <c r="AX6" s="477"/>
      <c r="AY6" s="477"/>
      <c r="AZ6" s="477"/>
      <c r="BA6" s="589"/>
      <c r="BB6" s="478"/>
      <c r="BC6" s="111"/>
      <c r="BD6" s="111"/>
      <c r="BE6" s="111"/>
      <c r="BF6" s="111"/>
      <c r="BG6" s="587"/>
      <c r="BH6" s="110"/>
      <c r="BI6" s="4728"/>
      <c r="BJ6" s="310"/>
      <c r="BK6" s="4928"/>
      <c r="BL6" s="325">
        <f t="shared" si="2"/>
        <v>15</v>
      </c>
      <c r="BM6" s="326">
        <f t="shared" si="1"/>
        <v>17.938814468550756</v>
      </c>
      <c r="BN6" s="326">
        <f t="shared" si="1"/>
        <v>16.396941165001813</v>
      </c>
      <c r="BO6" s="326">
        <f t="shared" si="1"/>
        <v>14.98759463953872</v>
      </c>
      <c r="BP6" s="326">
        <f t="shared" si="1"/>
        <v>13.699383977700879</v>
      </c>
      <c r="BQ6" s="326">
        <f t="shared" si="1"/>
        <v>12.521897334572138</v>
      </c>
      <c r="BR6" s="326">
        <f t="shared" si="1"/>
        <v>11.445617781996038</v>
      </c>
      <c r="BS6" s="326">
        <f t="shared" si="1"/>
        <v>10.461846388873955</v>
      </c>
      <c r="BT6" s="326">
        <f t="shared" si="1"/>
        <v>9.5626319128496693</v>
      </c>
      <c r="BU6" s="326">
        <f t="shared" si="1"/>
        <v>8.7407065351198856</v>
      </c>
      <c r="BV6" s="326">
        <f t="shared" si="1"/>
        <v>7.989427118953099</v>
      </c>
      <c r="BW6" s="326">
        <f t="shared" si="1"/>
        <v>7.3027215171442323</v>
      </c>
      <c r="BX6" s="326">
        <f t="shared" si="1"/>
        <v>6.6750394944399298</v>
      </c>
      <c r="BY6" s="326">
        <f t="shared" si="1"/>
        <v>6.1013078682694726</v>
      </c>
      <c r="BZ6" s="326">
        <f t="shared" si="1"/>
        <v>5.5768895052104082</v>
      </c>
      <c r="CA6" s="326">
        <f t="shared" si="1"/>
        <v>5.0975458417815229</v>
      </c>
      <c r="CB6" s="327"/>
    </row>
    <row r="7" spans="1:80" ht="13.5" customHeight="1">
      <c r="A7" s="108"/>
      <c r="B7" s="486" t="s">
        <v>310</v>
      </c>
      <c r="C7" s="2556">
        <v>75</v>
      </c>
      <c r="D7" s="4869" t="s">
        <v>1761</v>
      </c>
      <c r="E7" s="4869"/>
      <c r="F7" s="4869"/>
      <c r="G7" s="4869"/>
      <c r="H7" s="113"/>
      <c r="I7" s="3519"/>
      <c r="J7" s="3519"/>
      <c r="K7" s="3858" t="s">
        <v>1863</v>
      </c>
      <c r="L7" s="4694"/>
      <c r="M7" s="4695"/>
      <c r="N7" s="4695"/>
      <c r="O7" s="4695"/>
      <c r="P7" s="591"/>
      <c r="Q7" s="591"/>
      <c r="R7" s="487"/>
      <c r="S7" s="487"/>
      <c r="T7" s="487"/>
      <c r="U7" s="487"/>
      <c r="V7" s="487"/>
      <c r="W7" s="487"/>
      <c r="X7" s="487"/>
      <c r="Y7" s="3525"/>
      <c r="Z7" s="1878"/>
      <c r="AA7" s="485"/>
      <c r="AB7" s="485"/>
      <c r="AC7" s="476"/>
      <c r="AD7" s="476"/>
      <c r="AE7" s="476"/>
      <c r="AF7" s="477"/>
      <c r="AG7" s="477"/>
      <c r="AH7" s="477"/>
      <c r="AI7" s="477"/>
      <c r="AJ7" s="477"/>
      <c r="AK7" s="477"/>
      <c r="AL7" s="477"/>
      <c r="AM7" s="477"/>
      <c r="AN7" s="477"/>
      <c r="AO7" s="477"/>
      <c r="AP7" s="477"/>
      <c r="AQ7" s="477"/>
      <c r="AR7" s="477"/>
      <c r="AS7" s="477"/>
      <c r="AT7" s="477"/>
      <c r="AU7" s="477"/>
      <c r="AV7" s="476"/>
      <c r="AW7" s="477"/>
      <c r="AX7" s="477"/>
      <c r="AY7" s="477"/>
      <c r="AZ7" s="477"/>
      <c r="BA7" s="589"/>
      <c r="BB7" s="478"/>
      <c r="BC7" s="111"/>
      <c r="BD7" s="111"/>
      <c r="BE7" s="111"/>
      <c r="BF7" s="111"/>
      <c r="BG7" s="587"/>
      <c r="BH7" s="110"/>
      <c r="BI7" s="4728"/>
      <c r="BJ7" s="310"/>
      <c r="BK7" s="4928"/>
      <c r="BL7" s="325">
        <f t="shared" si="2"/>
        <v>20</v>
      </c>
      <c r="BM7" s="326">
        <f t="shared" si="1"/>
        <v>21.894149619435765</v>
      </c>
      <c r="BN7" s="326">
        <f t="shared" si="1"/>
        <v>20.012308159884647</v>
      </c>
      <c r="BO7" s="326">
        <f t="shared" si="1"/>
        <v>18.292214351666914</v>
      </c>
      <c r="BP7" s="326">
        <f t="shared" si="1"/>
        <v>16.719965693815187</v>
      </c>
      <c r="BQ7" s="326">
        <f t="shared" si="1"/>
        <v>15.282854630275068</v>
      </c>
      <c r="BR7" s="326">
        <f t="shared" si="1"/>
        <v>13.969265842244964</v>
      </c>
      <c r="BS7" s="326">
        <f t="shared" si="1"/>
        <v>12.768582368423644</v>
      </c>
      <c r="BT7" s="326">
        <f t="shared" si="1"/>
        <v>11.671099794391049</v>
      </c>
      <c r="BU7" s="326">
        <f t="shared" si="1"/>
        <v>10.667947817565853</v>
      </c>
      <c r="BV7" s="326">
        <f t="shared" si="1"/>
        <v>9.7510185537956797</v>
      </c>
      <c r="BW7" s="326">
        <f t="shared" si="1"/>
        <v>8.9129010061246117</v>
      </c>
      <c r="BX7" s="326">
        <f t="shared" si="1"/>
        <v>8.1468211660877632</v>
      </c>
      <c r="BY7" s="326">
        <f t="shared" si="1"/>
        <v>7.4465872634070687</v>
      </c>
      <c r="BZ7" s="326">
        <f t="shared" si="1"/>
        <v>6.8065397215740377</v>
      </c>
      <c r="CA7" s="326">
        <f t="shared" si="1"/>
        <v>6.2215054148399238</v>
      </c>
      <c r="CB7" s="327"/>
    </row>
    <row r="8" spans="1:80" ht="13.5" customHeight="1">
      <c r="A8" s="108"/>
      <c r="B8" s="114"/>
      <c r="C8" s="447"/>
      <c r="D8" s="447"/>
      <c r="E8" s="447"/>
      <c r="F8" s="447"/>
      <c r="G8" s="447"/>
      <c r="H8" s="447"/>
      <c r="I8" s="447"/>
      <c r="J8" s="488"/>
      <c r="K8" s="488"/>
      <c r="L8" s="488"/>
      <c r="M8" s="488"/>
      <c r="N8" s="488"/>
      <c r="O8" s="488"/>
      <c r="P8" s="489"/>
      <c r="Q8" s="489"/>
      <c r="R8" s="489"/>
      <c r="S8" s="489"/>
      <c r="T8" s="489"/>
      <c r="U8" s="489"/>
      <c r="V8" s="489"/>
      <c r="W8" s="489"/>
      <c r="X8" s="483"/>
      <c r="Y8" s="3525"/>
      <c r="Z8" s="1878"/>
      <c r="AA8" s="490"/>
      <c r="AB8" s="490"/>
      <c r="AC8" s="476"/>
      <c r="AD8" s="476"/>
      <c r="AE8" s="476"/>
      <c r="AF8" s="477"/>
      <c r="AG8" s="477"/>
      <c r="AH8" s="477"/>
      <c r="AI8" s="477"/>
      <c r="AJ8" s="477"/>
      <c r="AK8" s="477"/>
      <c r="AL8" s="477"/>
      <c r="AM8" s="477"/>
      <c r="AN8" s="477"/>
      <c r="AO8" s="477"/>
      <c r="AP8" s="477"/>
      <c r="AQ8" s="477"/>
      <c r="AR8" s="477"/>
      <c r="AS8" s="477"/>
      <c r="AT8" s="477"/>
      <c r="AU8" s="477"/>
      <c r="AV8" s="476"/>
      <c r="AW8" s="477"/>
      <c r="AX8" s="477"/>
      <c r="AY8" s="477"/>
      <c r="AZ8" s="477"/>
      <c r="BA8" s="589"/>
      <c r="BB8" s="478"/>
      <c r="BC8" s="111"/>
      <c r="BD8" s="111"/>
      <c r="BE8" s="111"/>
      <c r="BF8" s="111"/>
      <c r="BG8" s="587"/>
      <c r="BH8" s="110"/>
      <c r="BI8" s="4728"/>
      <c r="BJ8" s="310"/>
      <c r="BK8" s="4928"/>
      <c r="BL8" s="325">
        <f t="shared" si="2"/>
        <v>25</v>
      </c>
      <c r="BM8" s="326">
        <f t="shared" si="1"/>
        <v>25.132504146195664</v>
      </c>
      <c r="BN8" s="326">
        <f t="shared" si="1"/>
        <v>22.97232030225835</v>
      </c>
      <c r="BO8" s="326">
        <f t="shared" si="1"/>
        <v>20.997808137213969</v>
      </c>
      <c r="BP8" s="326">
        <f t="shared" si="1"/>
        <v>19.193008836983037</v>
      </c>
      <c r="BQ8" s="326">
        <f t="shared" si="1"/>
        <v>17.543335276202075</v>
      </c>
      <c r="BR8" s="326">
        <f t="shared" si="1"/>
        <v>16.035454119116356</v>
      </c>
      <c r="BS8" s="326">
        <f t="shared" si="1"/>
        <v>14.657178054112437</v>
      </c>
      <c r="BT8" s="326">
        <f t="shared" si="1"/>
        <v>13.397367290886161</v>
      </c>
      <c r="BU8" s="326">
        <f t="shared" si="1"/>
        <v>12.245839524105815</v>
      </c>
      <c r="BV8" s="326">
        <f t="shared" si="1"/>
        <v>11.193287635860067</v>
      </c>
      <c r="BW8" s="326">
        <f t="shared" si="1"/>
        <v>10.231204471728239</v>
      </c>
      <c r="BX8" s="326">
        <f t="shared" si="1"/>
        <v>9.3518140824823632</v>
      </c>
      <c r="BY8" s="326">
        <f t="shared" si="1"/>
        <v>8.5480088756883656</v>
      </c>
      <c r="BZ8" s="326">
        <f t="shared" si="1"/>
        <v>7.8132921692399355</v>
      </c>
      <c r="CA8" s="326">
        <f t="shared" si="1"/>
        <v>7.1417256825192359</v>
      </c>
      <c r="CB8" s="327"/>
    </row>
    <row r="9" spans="1:80" ht="13.5" customHeight="1">
      <c r="A9" s="108"/>
      <c r="B9" s="1673" t="s">
        <v>10</v>
      </c>
      <c r="C9" s="4889" t="s">
        <v>1662</v>
      </c>
      <c r="D9" s="4889"/>
      <c r="E9" s="4889"/>
      <c r="F9" s="4889"/>
      <c r="G9" s="4890"/>
      <c r="H9" s="3239" t="s">
        <v>11</v>
      </c>
      <c r="I9" s="4828" t="s">
        <v>12</v>
      </c>
      <c r="J9" s="4829"/>
      <c r="K9" s="4829"/>
      <c r="L9" s="4829"/>
      <c r="M9" s="4829"/>
      <c r="N9" s="4829"/>
      <c r="O9" s="4829"/>
      <c r="P9" s="4829"/>
      <c r="Q9" s="4830"/>
      <c r="R9" s="489"/>
      <c r="S9" s="455"/>
      <c r="T9" s="524"/>
      <c r="U9" s="483"/>
      <c r="V9" s="483"/>
      <c r="W9" s="483"/>
      <c r="X9" s="483"/>
      <c r="Y9" s="3525"/>
      <c r="Z9" s="1878"/>
      <c r="AA9" s="490"/>
      <c r="AB9" s="490"/>
      <c r="AC9" s="115" t="s">
        <v>21</v>
      </c>
      <c r="AD9" s="115" t="s">
        <v>22</v>
      </c>
      <c r="AE9" s="115"/>
      <c r="AF9" s="115" t="s">
        <v>23</v>
      </c>
      <c r="AG9" s="115"/>
      <c r="AH9" s="115"/>
      <c r="AI9" s="524"/>
      <c r="AJ9" s="524"/>
      <c r="AK9" s="524"/>
      <c r="AL9" s="524"/>
      <c r="AM9" s="524"/>
      <c r="AN9" s="524"/>
      <c r="AO9" s="477"/>
      <c r="AP9" s="477"/>
      <c r="AQ9" s="477"/>
      <c r="AR9" s="477"/>
      <c r="AS9" s="477"/>
      <c r="AT9" s="477"/>
      <c r="AU9" s="477"/>
      <c r="AV9" s="476"/>
      <c r="AW9" s="477"/>
      <c r="AX9" s="477"/>
      <c r="AY9" s="477"/>
      <c r="AZ9" s="477"/>
      <c r="BA9" s="589"/>
      <c r="BB9" s="478"/>
      <c r="BC9" s="111"/>
      <c r="BD9" s="111"/>
      <c r="BE9" s="111"/>
      <c r="BF9" s="111"/>
      <c r="BG9" s="587"/>
      <c r="BH9" s="110"/>
      <c r="BI9" s="4728"/>
      <c r="BJ9" s="310"/>
      <c r="BK9" s="4928"/>
      <c r="BL9" s="325">
        <f t="shared" si="2"/>
        <v>30</v>
      </c>
      <c r="BM9" s="326">
        <f t="shared" si="1"/>
        <v>27.783844586623285</v>
      </c>
      <c r="BN9" s="326">
        <f t="shared" si="1"/>
        <v>25.395773272703941</v>
      </c>
      <c r="BO9" s="326">
        <f t="shared" si="1"/>
        <v>23.212960974778021</v>
      </c>
      <c r="BP9" s="326">
        <f t="shared" si="1"/>
        <v>21.217765311983186</v>
      </c>
      <c r="BQ9" s="326">
        <f t="shared" si="1"/>
        <v>19.394060297760095</v>
      </c>
      <c r="BR9" s="326">
        <f t="shared" si="1"/>
        <v>17.727106003040163</v>
      </c>
      <c r="BS9" s="326">
        <f t="shared" si="1"/>
        <v>16.203429422116251</v>
      </c>
      <c r="BT9" s="326">
        <f t="shared" si="1"/>
        <v>14.810715578305642</v>
      </c>
      <c r="BU9" s="326">
        <f t="shared" si="1"/>
        <v>13.537707989276779</v>
      </c>
      <c r="BV9" s="326">
        <f t="shared" si="1"/>
        <v>12.37411768755973</v>
      </c>
      <c r="BW9" s="326">
        <f t="shared" si="1"/>
        <v>11.310540060907208</v>
      </c>
      <c r="BX9" s="326">
        <f t="shared" si="1"/>
        <v>10.338378840375748</v>
      </c>
      <c r="BY9" s="326">
        <f t="shared" si="1"/>
        <v>9.4497766217677945</v>
      </c>
      <c r="BZ9" s="326">
        <f t="shared" si="1"/>
        <v>8.6375513588805362</v>
      </c>
      <c r="CA9" s="326">
        <f t="shared" si="1"/>
        <v>7.8951383152739396</v>
      </c>
      <c r="CB9" s="327"/>
    </row>
    <row r="10" spans="1:80" ht="13.5" customHeight="1">
      <c r="A10" s="108"/>
      <c r="B10" s="116" t="s">
        <v>311</v>
      </c>
      <c r="C10" s="117">
        <f>1000+AY71</f>
        <v>1008.25</v>
      </c>
      <c r="D10" s="4900" t="s">
        <v>14</v>
      </c>
      <c r="E10" s="4901"/>
      <c r="F10" s="4901"/>
      <c r="G10" s="491">
        <f>1000+AY70</f>
        <v>1010.6125</v>
      </c>
      <c r="H10" s="3240">
        <v>1036</v>
      </c>
      <c r="I10" s="4696" t="s">
        <v>15</v>
      </c>
      <c r="J10" s="4697"/>
      <c r="K10" s="4697"/>
      <c r="L10" s="4697"/>
      <c r="M10" s="4697"/>
      <c r="N10" s="4697"/>
      <c r="O10" s="4697"/>
      <c r="P10" s="4697"/>
      <c r="Q10" s="4698"/>
      <c r="R10" s="489"/>
      <c r="S10" s="456"/>
      <c r="T10" s="483"/>
      <c r="U10" s="483"/>
      <c r="V10" s="483"/>
      <c r="W10" s="483"/>
      <c r="X10" s="483"/>
      <c r="Y10" s="3525"/>
      <c r="Z10" s="1878"/>
      <c r="AA10" s="492"/>
      <c r="AB10" s="492"/>
      <c r="AC10" s="311">
        <v>789.4</v>
      </c>
      <c r="AD10" s="311">
        <v>7.01</v>
      </c>
      <c r="AE10" s="311"/>
      <c r="AF10" s="311">
        <v>3.85</v>
      </c>
      <c r="AG10" s="311"/>
      <c r="AH10" s="311"/>
      <c r="AI10" s="524"/>
      <c r="AJ10" s="524"/>
      <c r="AK10" s="524"/>
      <c r="AL10" s="524"/>
      <c r="AM10" s="524"/>
      <c r="AN10" s="524"/>
      <c r="AO10" s="477"/>
      <c r="AP10" s="477"/>
      <c r="AQ10" s="477"/>
      <c r="AR10" s="477"/>
      <c r="AS10" s="477"/>
      <c r="AT10" s="477"/>
      <c r="AU10" s="477"/>
      <c r="AV10" s="476"/>
      <c r="AW10" s="477"/>
      <c r="AX10" s="477"/>
      <c r="AY10" s="477"/>
      <c r="AZ10" s="477"/>
      <c r="BA10" s="589"/>
      <c r="BB10" s="478"/>
      <c r="BC10" s="111"/>
      <c r="BD10" s="111"/>
      <c r="BE10" s="111"/>
      <c r="BF10" s="111"/>
      <c r="BG10" s="587"/>
      <c r="BH10" s="110"/>
      <c r="BI10" s="4728"/>
      <c r="BJ10" s="310"/>
      <c r="BK10" s="323"/>
      <c r="BL10" s="325">
        <f t="shared" si="2"/>
        <v>35</v>
      </c>
      <c r="BM10" s="326">
        <f t="shared" si="1"/>
        <v>29.954578542080704</v>
      </c>
      <c r="BN10" s="326">
        <f t="shared" si="1"/>
        <v>27.379928748245938</v>
      </c>
      <c r="BO10" s="326">
        <f t="shared" si="1"/>
        <v>25.026574725659668</v>
      </c>
      <c r="BP10" s="326">
        <f t="shared" si="1"/>
        <v>22.875495705559583</v>
      </c>
      <c r="BQ10" s="326">
        <f t="shared" si="1"/>
        <v>20.909305788400562</v>
      </c>
      <c r="BR10" s="326">
        <f t="shared" si="1"/>
        <v>19.112113423910895</v>
      </c>
      <c r="BS10" s="326">
        <f t="shared" si="1"/>
        <v>17.469392969089871</v>
      </c>
      <c r="BT10" s="326">
        <f t="shared" si="1"/>
        <v>15.967867286026078</v>
      </c>
      <c r="BU10" s="326">
        <f t="shared" si="1"/>
        <v>14.595400430643901</v>
      </c>
      <c r="BV10" s="326">
        <f t="shared" si="1"/>
        <v>13.340899565044911</v>
      </c>
      <c r="BW10" s="326">
        <f t="shared" si="1"/>
        <v>12.194225300659575</v>
      </c>
      <c r="BX10" s="326">
        <f t="shared" si="1"/>
        <v>11.146109747565999</v>
      </c>
      <c r="BY10" s="326">
        <f t="shared" si="1"/>
        <v>10.188081607616843</v>
      </c>
      <c r="BZ10" s="326">
        <f t="shared" si="1"/>
        <v>9.3123977059464345</v>
      </c>
      <c r="CA10" s="326">
        <f t="shared" si="1"/>
        <v>8.5119804074676644</v>
      </c>
      <c r="CB10" s="327"/>
    </row>
    <row r="11" spans="1:80" ht="13.5" customHeight="1">
      <c r="A11" s="108"/>
      <c r="B11" s="116" t="s">
        <v>16</v>
      </c>
      <c r="C11" s="493">
        <f>1000+AY72</f>
        <v>1002.0625</v>
      </c>
      <c r="D11" s="4926" t="s">
        <v>312</v>
      </c>
      <c r="E11" s="4927"/>
      <c r="F11" s="4927"/>
      <c r="G11" s="491">
        <f>1000+AY73</f>
        <v>1001.8758625</v>
      </c>
      <c r="H11" s="3241">
        <v>1007.5</v>
      </c>
      <c r="I11" s="604"/>
      <c r="J11" s="605"/>
      <c r="K11" s="606"/>
      <c r="L11" s="4699" t="s">
        <v>18</v>
      </c>
      <c r="M11" s="4700"/>
      <c r="N11" s="4701" t="s">
        <v>19</v>
      </c>
      <c r="O11" s="4702"/>
      <c r="P11" s="4703" t="s">
        <v>20</v>
      </c>
      <c r="Q11" s="4704"/>
      <c r="R11" s="489"/>
      <c r="S11" s="457"/>
      <c r="T11" s="483"/>
      <c r="U11" s="483"/>
      <c r="V11" s="483"/>
      <c r="W11" s="483"/>
      <c r="X11" s="483"/>
      <c r="Y11" s="3525"/>
      <c r="Z11" s="1878"/>
      <c r="AA11" s="490"/>
      <c r="AB11" s="490"/>
      <c r="AC11" s="358"/>
      <c r="AD11" s="118">
        <f>0.01*AC12*(G10-G11)/(7.75-(3*(G10-1000)/800))</f>
        <v>6.2703767631186152E-2</v>
      </c>
      <c r="AE11" s="118"/>
      <c r="AF11" s="119" t="s">
        <v>33</v>
      </c>
      <c r="AG11" s="119"/>
      <c r="AH11" s="119"/>
      <c r="AI11" s="524"/>
      <c r="AJ11" s="524"/>
      <c r="AK11" s="524"/>
      <c r="AL11" s="524"/>
      <c r="AM11" s="524"/>
      <c r="AN11" s="524"/>
      <c r="AO11" s="477"/>
      <c r="AP11" s="477"/>
      <c r="AQ11" s="477"/>
      <c r="AR11" s="477"/>
      <c r="AS11" s="477"/>
      <c r="AT11" s="477"/>
      <c r="AU11" s="477"/>
      <c r="AV11" s="476"/>
      <c r="AW11" s="477"/>
      <c r="AX11" s="477"/>
      <c r="AY11" s="477"/>
      <c r="AZ11" s="477"/>
      <c r="BA11" s="589"/>
      <c r="BB11" s="478"/>
      <c r="BC11" s="111"/>
      <c r="BD11" s="111"/>
      <c r="BE11" s="111"/>
      <c r="BF11" s="111"/>
      <c r="BG11" s="110"/>
      <c r="BH11" s="110"/>
      <c r="BI11" s="4728"/>
      <c r="BJ11" s="310"/>
      <c r="BK11" s="323"/>
      <c r="BL11" s="325">
        <f t="shared" si="2"/>
        <v>40</v>
      </c>
      <c r="BM11" s="326">
        <f t="shared" si="1"/>
        <v>31.731825188164301</v>
      </c>
      <c r="BN11" s="326">
        <f t="shared" si="1"/>
        <v>29.004417854960234</v>
      </c>
      <c r="BO11" s="326">
        <f t="shared" si="1"/>
        <v>26.511436077711583</v>
      </c>
      <c r="BP11" s="326">
        <f t="shared" si="1"/>
        <v>24.232730559092648</v>
      </c>
      <c r="BQ11" s="326">
        <f t="shared" si="1"/>
        <v>22.149883870050648</v>
      </c>
      <c r="BR11" s="326">
        <f t="shared" si="1"/>
        <v>20.246061592618979</v>
      </c>
      <c r="BS11" s="326">
        <f t="shared" si="1"/>
        <v>18.505876257272863</v>
      </c>
      <c r="BT11" s="326">
        <f t="shared" si="1"/>
        <v>16.9152629751135</v>
      </c>
      <c r="BU11" s="326">
        <f t="shared" si="1"/>
        <v>15.461365759689293</v>
      </c>
      <c r="BV11" s="326">
        <f t="shared" si="1"/>
        <v>14.1324336196605</v>
      </c>
      <c r="BW11" s="326">
        <f t="shared" si="1"/>
        <v>12.917725582485927</v>
      </c>
      <c r="BX11" s="326">
        <f t="shared" si="1"/>
        <v>11.807423881494234</v>
      </c>
      <c r="BY11" s="326">
        <f t="shared" si="1"/>
        <v>10.792554604682264</v>
      </c>
      <c r="BZ11" s="326">
        <f t="shared" si="1"/>
        <v>9.8649151638916219</v>
      </c>
      <c r="CA11" s="326">
        <f t="shared" si="1"/>
        <v>9.0170079981396327</v>
      </c>
      <c r="CB11" s="327"/>
    </row>
    <row r="12" spans="1:80" ht="13.5" customHeight="1">
      <c r="A12" s="108"/>
      <c r="B12" s="116" t="s">
        <v>24</v>
      </c>
      <c r="C12" s="368">
        <f>(C10-C11)/(7.75-(3*(AY71)/800))</f>
        <v>0.80158698028419906</v>
      </c>
      <c r="D12" s="4904" t="s">
        <v>313</v>
      </c>
      <c r="E12" s="4905"/>
      <c r="F12" s="4905"/>
      <c r="G12" s="494">
        <f>(G10-G11)/(7.75-(3*(G10-1000)/800))</f>
        <v>1.1331267618192504</v>
      </c>
      <c r="H12" s="3241">
        <v>3.6</v>
      </c>
      <c r="I12" s="4705" t="s">
        <v>26</v>
      </c>
      <c r="J12" s="4706"/>
      <c r="K12" s="4707"/>
      <c r="L12" s="495">
        <v>330</v>
      </c>
      <c r="M12" s="120" t="s">
        <v>27</v>
      </c>
      <c r="N12" s="121">
        <v>1</v>
      </c>
      <c r="O12" s="122" t="s">
        <v>28</v>
      </c>
      <c r="P12" s="496">
        <v>12</v>
      </c>
      <c r="Q12" s="120" t="s">
        <v>29</v>
      </c>
      <c r="R12" s="489"/>
      <c r="S12" s="458"/>
      <c r="T12" s="483"/>
      <c r="U12" s="483"/>
      <c r="V12" s="483"/>
      <c r="W12" s="483"/>
      <c r="X12" s="483"/>
      <c r="Y12" s="3525"/>
      <c r="Z12" s="1878"/>
      <c r="AA12" s="497"/>
      <c r="AB12" s="497"/>
      <c r="AC12" s="311">
        <f>AC10*AD10/1000</f>
        <v>5.5336939999999997</v>
      </c>
      <c r="AD12" s="118">
        <f>0.00000001*G11*((1000*G10)/AC12+(819.2*G11)-1000400)</f>
        <v>2.9711790163885515E-2</v>
      </c>
      <c r="AE12" s="118"/>
      <c r="AF12" s="119" t="s">
        <v>33</v>
      </c>
      <c r="AG12" s="119"/>
      <c r="AH12" s="119"/>
      <c r="AI12" s="524"/>
      <c r="AJ12" s="524"/>
      <c r="AK12" s="524"/>
      <c r="AL12" s="524"/>
      <c r="AM12" s="524"/>
      <c r="AN12" s="524"/>
      <c r="AO12" s="477"/>
      <c r="AP12" s="477"/>
      <c r="AQ12" s="477"/>
      <c r="AR12" s="477"/>
      <c r="AS12" s="477"/>
      <c r="AT12" s="477"/>
      <c r="AU12" s="477"/>
      <c r="AV12" s="476"/>
      <c r="AW12" s="477"/>
      <c r="AX12" s="477"/>
      <c r="AY12" s="477"/>
      <c r="AZ12" s="477"/>
      <c r="BA12" s="589"/>
      <c r="BB12" s="478"/>
      <c r="BC12" s="111"/>
      <c r="BD12" s="111"/>
      <c r="BE12" s="111"/>
      <c r="BF12" s="111"/>
      <c r="BG12" s="110"/>
      <c r="BH12" s="110"/>
      <c r="BI12" s="4728"/>
      <c r="BJ12" s="315"/>
      <c r="BK12" s="323"/>
      <c r="BL12" s="325">
        <f t="shared" si="2"/>
        <v>45</v>
      </c>
      <c r="BM12" s="326">
        <f t="shared" si="1"/>
        <v>33.186911673117642</v>
      </c>
      <c r="BN12" s="326">
        <f t="shared" si="1"/>
        <v>30.334437044667407</v>
      </c>
      <c r="BO12" s="326">
        <f t="shared" si="1"/>
        <v>27.727137730693432</v>
      </c>
      <c r="BP12" s="326">
        <f t="shared" si="1"/>
        <v>25.343940472829452</v>
      </c>
      <c r="BQ12" s="326">
        <f t="shared" si="1"/>
        <v>23.165583297092059</v>
      </c>
      <c r="BR12" s="326">
        <f t="shared" si="1"/>
        <v>21.174459830736748</v>
      </c>
      <c r="BS12" s="326">
        <f t="shared" si="1"/>
        <v>19.354477000359658</v>
      </c>
      <c r="BT12" s="326">
        <f t="shared" si="1"/>
        <v>17.690924961102876</v>
      </c>
      <c r="BU12" s="326">
        <f t="shared" si="1"/>
        <v>16.170358205678045</v>
      </c>
      <c r="BV12" s="326">
        <f t="shared" si="1"/>
        <v>14.780486892282784</v>
      </c>
      <c r="BW12" s="326">
        <f t="shared" si="1"/>
        <v>13.510077513077746</v>
      </c>
      <c r="BX12" s="326">
        <f t="shared" si="1"/>
        <v>12.348862100386409</v>
      </c>
      <c r="BY12" s="326">
        <f t="shared" si="1"/>
        <v>11.287455236784938</v>
      </c>
      <c r="BZ12" s="326">
        <f t="shared" si="1"/>
        <v>10.317278198323816</v>
      </c>
      <c r="CA12" s="326">
        <f t="shared" si="1"/>
        <v>9.430489617775649</v>
      </c>
      <c r="CB12" s="327"/>
    </row>
    <row r="13" spans="1:80" ht="13.5" customHeight="1">
      <c r="A13" s="108"/>
      <c r="B13" s="123" t="s">
        <v>30</v>
      </c>
      <c r="C13" s="124">
        <f>VLOOKUP(H6,'Beer Data Sheet'!AE6:AF49,2)</f>
        <v>0.877</v>
      </c>
      <c r="D13" s="4472" t="s">
        <v>31</v>
      </c>
      <c r="E13" s="4918"/>
      <c r="F13" s="4918"/>
      <c r="G13" s="369">
        <f>C69</f>
        <v>2.5275263157894736</v>
      </c>
      <c r="H13" s="3242">
        <f>G13</f>
        <v>2.5275263157894736</v>
      </c>
      <c r="I13" s="4950" t="s">
        <v>32</v>
      </c>
      <c r="J13" s="4951"/>
      <c r="K13" s="4952"/>
      <c r="L13" s="125">
        <f>AD11*L12</f>
        <v>20.692243318291432</v>
      </c>
      <c r="M13" s="498"/>
      <c r="N13" s="126">
        <f>568*AD11*N12</f>
        <v>35.615740014513733</v>
      </c>
      <c r="O13" s="373"/>
      <c r="P13" s="125">
        <f>29.57*AD11*P12</f>
        <v>22.249804906250095</v>
      </c>
      <c r="Q13" s="374"/>
      <c r="R13" s="489"/>
      <c r="S13" s="459"/>
      <c r="T13" s="483"/>
      <c r="U13" s="483"/>
      <c r="V13" s="483"/>
      <c r="W13" s="483"/>
      <c r="X13" s="483"/>
      <c r="Y13" s="3525"/>
      <c r="Z13" s="1878"/>
      <c r="AA13" s="497"/>
      <c r="AB13" s="497"/>
      <c r="AC13" s="476"/>
      <c r="AD13" s="476"/>
      <c r="AE13" s="476"/>
      <c r="AF13" s="477"/>
      <c r="AG13" s="477"/>
      <c r="AH13" s="477"/>
      <c r="AI13" s="477"/>
      <c r="AJ13" s="477"/>
      <c r="AK13" s="477"/>
      <c r="AL13" s="477"/>
      <c r="AM13" s="477"/>
      <c r="AN13" s="477"/>
      <c r="AO13" s="477"/>
      <c r="AP13" s="477"/>
      <c r="AQ13" s="477"/>
      <c r="AR13" s="477"/>
      <c r="AS13" s="477"/>
      <c r="AT13" s="477"/>
      <c r="AU13" s="477"/>
      <c r="AV13" s="476"/>
      <c r="AW13" s="477"/>
      <c r="AX13" s="477"/>
      <c r="AY13" s="477"/>
      <c r="AZ13" s="477"/>
      <c r="BA13" s="589"/>
      <c r="BB13" s="478"/>
      <c r="BC13" s="111"/>
      <c r="BD13" s="111"/>
      <c r="BE13" s="111"/>
      <c r="BF13" s="111"/>
      <c r="BG13" s="111"/>
      <c r="BH13" s="111"/>
      <c r="BI13" s="4728"/>
      <c r="BJ13" s="315"/>
      <c r="BK13" s="323"/>
      <c r="BL13" s="325">
        <f t="shared" si="2"/>
        <v>50</v>
      </c>
      <c r="BM13" s="326">
        <f t="shared" ref="BM13:CA27" si="3">165*POWER(0.000125,(BM$2)/1000-1)*(1-EXP(-$C$123*$BL13))/$D$123</f>
        <v>34.378235726737081</v>
      </c>
      <c r="BN13" s="326">
        <f t="shared" si="3"/>
        <v>31.423364657464532</v>
      </c>
      <c r="BO13" s="326">
        <f t="shared" si="3"/>
        <v>28.722470060557413</v>
      </c>
      <c r="BP13" s="326">
        <f t="shared" si="3"/>
        <v>26.253722202330909</v>
      </c>
      <c r="BQ13" s="326">
        <f t="shared" si="3"/>
        <v>23.997167653894547</v>
      </c>
      <c r="BR13" s="326">
        <f t="shared" si="3"/>
        <v>21.934568019387179</v>
      </c>
      <c r="BS13" s="326">
        <f t="shared" si="3"/>
        <v>20.049252525809649</v>
      </c>
      <c r="BT13" s="326">
        <f t="shared" si="3"/>
        <v>18.32598328302592</v>
      </c>
      <c r="BU13" s="326">
        <f t="shared" si="3"/>
        <v>16.750832124909024</v>
      </c>
      <c r="BV13" s="326">
        <f t="shared" si="3"/>
        <v>15.311068036211481</v>
      </c>
      <c r="BW13" s="326">
        <f t="shared" si="3"/>
        <v>13.995054255298383</v>
      </c>
      <c r="BX13" s="326">
        <f t="shared" si="3"/>
        <v>12.792154221085202</v>
      </c>
      <c r="BY13" s="326">
        <f t="shared" si="3"/>
        <v>11.692645604005131</v>
      </c>
      <c r="BZ13" s="326">
        <f t="shared" si="3"/>
        <v>10.687641726169129</v>
      </c>
      <c r="CA13" s="326">
        <f t="shared" si="3"/>
        <v>9.7690197356041502</v>
      </c>
      <c r="CB13" s="327"/>
    </row>
    <row r="14" spans="1:80" ht="13.5" customHeight="1">
      <c r="A14" s="108"/>
      <c r="B14" s="127" t="s">
        <v>314</v>
      </c>
      <c r="C14" s="3513" t="str">
        <f>I73&amp;","</f>
        <v>59.0 EBU,</v>
      </c>
      <c r="D14" s="4464" t="str">
        <f>"the actual BU ̸ GU ratio is "&amp;FIXED(AD14)&amp;" ("&amp;IF(AD14&gt;0.81,"Too Hoppy?",IF(AD14&gt;0.65,"Very Hoppy",IF(AD14&gt;0.55,"Slightly Hoppy",IF(AD14&gt;0.45,"Balanced",IF(AD14&gt;0.35,"Slightly Malty",IF(AD14&gt;0.25,"Very Malty",IF((AD14+0.001)&gt;0,"Too Malty?")))))))&amp;")"</f>
        <v>the actual BU ̸ GU ratio is 5.56 (Too Hoppy?)</v>
      </c>
      <c r="E14" s="4464"/>
      <c r="F14" s="4464"/>
      <c r="G14" s="4919"/>
      <c r="H14" s="3243">
        <v>36</v>
      </c>
      <c r="I14" s="4466" t="s">
        <v>315</v>
      </c>
      <c r="J14" s="4953"/>
      <c r="K14" s="4954"/>
      <c r="L14" s="128">
        <f>AD12*L12</f>
        <v>9.8048907540822192</v>
      </c>
      <c r="M14" s="499"/>
      <c r="N14" s="129">
        <f>568*AD12*N12</f>
        <v>16.876296813086974</v>
      </c>
      <c r="O14" s="500"/>
      <c r="P14" s="128">
        <f>29.57*AD12*P12</f>
        <v>10.542931621753135</v>
      </c>
      <c r="Q14" s="3511"/>
      <c r="R14" s="489"/>
      <c r="S14" s="3520"/>
      <c r="T14" s="483"/>
      <c r="U14" s="483"/>
      <c r="V14" s="483"/>
      <c r="W14" s="483"/>
      <c r="X14" s="483"/>
      <c r="Y14" s="3525"/>
      <c r="Z14" s="1878"/>
      <c r="AA14" s="497"/>
      <c r="AB14" s="497"/>
      <c r="AC14" s="476" t="s">
        <v>316</v>
      </c>
      <c r="AD14" s="311">
        <f>((I71+J71+K71+L71+M71+N71+(I64*'Beer Data Sheet'!R16*'Beer Data Sheet'!T16/('Beer Data Sheet'!O16*C6))))/AY70</f>
        <v>5.5602123844081666</v>
      </c>
      <c r="AE14" s="311"/>
      <c r="AF14" s="477"/>
      <c r="AG14" s="477"/>
      <c r="AH14" s="477"/>
      <c r="AI14" s="477"/>
      <c r="AJ14" s="477"/>
      <c r="AK14" s="477"/>
      <c r="AL14" s="477"/>
      <c r="AM14" s="477"/>
      <c r="AN14" s="477"/>
      <c r="AO14" s="477"/>
      <c r="AP14" s="477"/>
      <c r="AQ14" s="477"/>
      <c r="AR14" s="477"/>
      <c r="AS14" s="477"/>
      <c r="AT14" s="477"/>
      <c r="AU14" s="477"/>
      <c r="AV14" s="476"/>
      <c r="AW14" s="477"/>
      <c r="AX14" s="477"/>
      <c r="AY14" s="477"/>
      <c r="AZ14" s="477"/>
      <c r="BA14" s="589"/>
      <c r="BB14" s="478"/>
      <c r="BC14" s="111"/>
      <c r="BD14" s="111"/>
      <c r="BE14" s="111"/>
      <c r="BF14" s="111"/>
      <c r="BG14" s="111"/>
      <c r="BH14" s="111"/>
      <c r="BI14" s="4728"/>
      <c r="BJ14" s="154"/>
      <c r="BK14" s="323"/>
      <c r="BL14" s="325">
        <f t="shared" si="2"/>
        <v>55</v>
      </c>
      <c r="BM14" s="326">
        <f t="shared" si="3"/>
        <v>35.353609366316839</v>
      </c>
      <c r="BN14" s="326">
        <f t="shared" si="3"/>
        <v>32.314903181937325</v>
      </c>
      <c r="BO14" s="326">
        <f t="shared" si="3"/>
        <v>29.537379248549808</v>
      </c>
      <c r="BP14" s="326">
        <f t="shared" si="3"/>
        <v>26.998588482862225</v>
      </c>
      <c r="BQ14" s="326">
        <f t="shared" si="3"/>
        <v>24.678011340587314</v>
      </c>
      <c r="BR14" s="326">
        <f t="shared" si="3"/>
        <v>22.556891969101688</v>
      </c>
      <c r="BS14" s="326">
        <f t="shared" si="3"/>
        <v>20.618086614981468</v>
      </c>
      <c r="BT14" s="326">
        <f t="shared" si="3"/>
        <v>18.845925061182417</v>
      </c>
      <c r="BU14" s="326">
        <f t="shared" si="3"/>
        <v>17.226083973943126</v>
      </c>
      <c r="BV14" s="326">
        <f t="shared" si="3"/>
        <v>15.745471135749201</v>
      </c>
      <c r="BW14" s="326">
        <f t="shared" si="3"/>
        <v>14.392119628681993</v>
      </c>
      <c r="BX14" s="326">
        <f t="shared" si="3"/>
        <v>13.155091112898457</v>
      </c>
      <c r="BY14" s="326">
        <f t="shared" si="3"/>
        <v>12.024387418499263</v>
      </c>
      <c r="BZ14" s="326">
        <f t="shared" si="3"/>
        <v>10.990869736234538</v>
      </c>
      <c r="CA14" s="326">
        <f t="shared" si="3"/>
        <v>10.046184753913456</v>
      </c>
      <c r="CB14" s="327"/>
    </row>
    <row r="15" spans="1:80" ht="13.5" customHeight="1">
      <c r="A15" s="108"/>
      <c r="B15" s="130" t="s">
        <v>317</v>
      </c>
      <c r="C15" s="375" t="str">
        <f>O73&amp;","</f>
        <v>56.4 EBU,</v>
      </c>
      <c r="D15" s="4920" t="str">
        <f>"the actual BU ̸ GU ratio is "&amp;FIXED(AD15)&amp;" ("&amp;IF(AD15&gt;0.81,"Too Hoppy?",IF(AD15&gt;0.65,"Very Hoppy",IF(AD15&gt;0.55,"Slightly Hoppy",IF(AD15&gt;0.45,"Balanced",IF(AD15&gt;0.35,"Slightly Malty",IF(AD15&gt;0.25,"Very Malty",IF((AD15+0.001)&gt;0,"Too Malty?")))))))&amp;")"</f>
        <v>the actual BU ̸ GU ratio is 5.31 (Too Hoppy?)</v>
      </c>
      <c r="E15" s="4920"/>
      <c r="F15" s="4920"/>
      <c r="G15" s="4921"/>
      <c r="H15" s="4922" t="str">
        <f>"("&amp;IF(H14/((H10-1000)+0.001)&gt;0.81,"Too Hoppy?",IF(H14/(H10-1000)&gt;0.65,"Very Hoppy",IF(H14/(H10-1000)&gt;0.55,"Slightly Hoppy",IF(H14/(H10-1000)&gt;0.45,"Balanced",IF(H14/(H10-1000)&gt;0.35,"Slightly Malty",IF(H14/(H10-1000)&gt;0.25,"Very Malty",IF((H14+0.001)/(H10-1000)&gt;0,"Too Malty?")))))))&amp;")"</f>
        <v>(Too Hoppy?)</v>
      </c>
      <c r="I15" s="4485" t="s">
        <v>37</v>
      </c>
      <c r="J15" s="4955"/>
      <c r="K15" s="4956"/>
      <c r="L15" s="131">
        <f>SUM(L13:L14)</f>
        <v>30.497134072373651</v>
      </c>
      <c r="M15" s="501"/>
      <c r="N15" s="132">
        <f>SUM(N13:N14)</f>
        <v>52.492036827600707</v>
      </c>
      <c r="O15" s="502"/>
      <c r="P15" s="131">
        <f>SUM(P13:P14)</f>
        <v>32.792736528003232</v>
      </c>
      <c r="Q15" s="133"/>
      <c r="R15" s="489"/>
      <c r="S15" s="134"/>
      <c r="T15" s="483"/>
      <c r="U15" s="483"/>
      <c r="V15" s="483"/>
      <c r="W15" s="483"/>
      <c r="X15" s="483"/>
      <c r="Y15" s="3525"/>
      <c r="Z15" s="1878"/>
      <c r="AA15" s="497"/>
      <c r="AB15" s="497"/>
      <c r="AC15" s="476"/>
      <c r="AD15" s="311">
        <f>((O71+P71+Q71+R71+S71+T71+(O64*'Beer Data Sheet'!R16*'Beer Data Sheet'!T16/('Beer Data Sheet'!O16*C6))))/AY70</f>
        <v>5.3119609696045087</v>
      </c>
      <c r="AE15" s="311"/>
      <c r="AF15" s="477"/>
      <c r="AG15" s="477"/>
      <c r="AH15" s="477"/>
      <c r="AI15" s="477"/>
      <c r="AJ15" s="477"/>
      <c r="AK15" s="477"/>
      <c r="AL15" s="477"/>
      <c r="AM15" s="477"/>
      <c r="AN15" s="477"/>
      <c r="AO15" s="477"/>
      <c r="AP15" s="477"/>
      <c r="AQ15" s="477"/>
      <c r="AR15" s="477"/>
      <c r="AS15" s="477"/>
      <c r="AT15" s="477"/>
      <c r="AU15" s="477"/>
      <c r="AV15" s="476"/>
      <c r="AW15" s="477"/>
      <c r="AX15" s="477"/>
      <c r="AY15" s="477"/>
      <c r="AZ15" s="477"/>
      <c r="BA15" s="589"/>
      <c r="BB15" s="478"/>
      <c r="BC15" s="111"/>
      <c r="BD15" s="111"/>
      <c r="BE15" s="111"/>
      <c r="BF15" s="111"/>
      <c r="BG15" s="111"/>
      <c r="BH15" s="111"/>
      <c r="BI15" s="4728"/>
      <c r="BJ15" s="529"/>
      <c r="BK15" s="323"/>
      <c r="BL15" s="325">
        <f t="shared" si="2"/>
        <v>60</v>
      </c>
      <c r="BM15" s="326">
        <f t="shared" si="3"/>
        <v>36.152177760782394</v>
      </c>
      <c r="BN15" s="326">
        <f t="shared" si="3"/>
        <v>33.044833189476975</v>
      </c>
      <c r="BO15" s="326">
        <f t="shared" si="3"/>
        <v>30.204570461724991</v>
      </c>
      <c r="BP15" s="326">
        <f t="shared" si="3"/>
        <v>27.608433413664024</v>
      </c>
      <c r="BQ15" s="326">
        <f t="shared" si="3"/>
        <v>25.23543900492168</v>
      </c>
      <c r="BR15" s="326">
        <f t="shared" si="3"/>
        <v>23.066407725109915</v>
      </c>
      <c r="BS15" s="326">
        <f t="shared" si="3"/>
        <v>21.083808577185543</v>
      </c>
      <c r="BT15" s="326">
        <f t="shared" si="3"/>
        <v>19.27161738476919</v>
      </c>
      <c r="BU15" s="326">
        <f t="shared" si="3"/>
        <v>17.615187278204523</v>
      </c>
      <c r="BV15" s="326">
        <f t="shared" si="3"/>
        <v>16.101130312573126</v>
      </c>
      <c r="BW15" s="326">
        <f t="shared" si="3"/>
        <v>14.717209260853547</v>
      </c>
      <c r="BX15" s="326">
        <f t="shared" si="3"/>
        <v>13.45223870765251</v>
      </c>
      <c r="BY15" s="326">
        <f t="shared" si="3"/>
        <v>12.2959946441075</v>
      </c>
      <c r="BZ15" s="326">
        <f t="shared" si="3"/>
        <v>11.239131833269731</v>
      </c>
      <c r="CA15" s="326">
        <f t="shared" si="3"/>
        <v>10.273108278080707</v>
      </c>
      <c r="CB15" s="327"/>
    </row>
    <row r="16" spans="1:80" ht="13.5" customHeight="1">
      <c r="A16" s="108"/>
      <c r="B16" s="135" t="s">
        <v>38</v>
      </c>
      <c r="C16" s="375" t="str">
        <f>U73&amp;","</f>
        <v>36.0 EBU,</v>
      </c>
      <c r="D16" s="4488" t="str">
        <f>"the actual BU ̸ GU ratio is "&amp;FIXED(AD16)&amp;" ("&amp;IF(AD16&gt;0.81,"Too Hoppy?",IF(AD16&gt;0.65,"Very Hoppy",IF(AD16&gt;0.55,"Slightly Hoppy",IF(AD16&gt;0.45,"Balanced",IF(AD16&gt;0.35,"Slightly Malty",IF(AD16&gt;0.25,"Very Malty",IF((AD16+0.001)&gt;0,"Too Malty?")))))))&amp;")"</f>
        <v>the actual BU ̸ GU ratio is 3.39 (Too Hoppy?)</v>
      </c>
      <c r="E16" s="4488"/>
      <c r="F16" s="4488"/>
      <c r="G16" s="4923"/>
      <c r="H16" s="4484"/>
      <c r="I16" s="4825" t="s">
        <v>39</v>
      </c>
      <c r="J16" s="4826"/>
      <c r="K16" s="4827"/>
      <c r="L16" s="136">
        <f>L14/AF10</f>
        <v>2.5467248711901869</v>
      </c>
      <c r="M16" s="503" t="s">
        <v>40</v>
      </c>
      <c r="N16" s="137">
        <f>N14/AF10</f>
        <v>4.3834537176849278</v>
      </c>
      <c r="O16" s="384" t="s">
        <v>40</v>
      </c>
      <c r="P16" s="136">
        <f>P14/AF10</f>
        <v>2.7384237978579571</v>
      </c>
      <c r="Q16" s="503" t="s">
        <v>40</v>
      </c>
      <c r="R16" s="489"/>
      <c r="S16" s="384"/>
      <c r="T16" s="483"/>
      <c r="U16" s="483"/>
      <c r="V16" s="483"/>
      <c r="W16" s="483"/>
      <c r="X16" s="483"/>
      <c r="Y16" s="3525"/>
      <c r="Z16" s="1878"/>
      <c r="AA16" s="497"/>
      <c r="AB16" s="497"/>
      <c r="AC16" s="476"/>
      <c r="AD16" s="311">
        <f>((U71+V71+W71+X71+Y71+Z71+(U64*'Beer Data Sheet'!R16*'Beer Data Sheet'!T16/('Beer Data Sheet'!O16*C6))))/AY70</f>
        <v>3.3898916485015631</v>
      </c>
      <c r="AE16" s="311"/>
      <c r="AF16" s="477"/>
      <c r="AG16" s="477"/>
      <c r="AH16" s="477"/>
      <c r="AI16" s="477"/>
      <c r="AJ16" s="477"/>
      <c r="AK16" s="477"/>
      <c r="AL16" s="477"/>
      <c r="AM16" s="477"/>
      <c r="AN16" s="477"/>
      <c r="AO16" s="477"/>
      <c r="AP16" s="477"/>
      <c r="AQ16" s="477"/>
      <c r="AR16" s="477"/>
      <c r="AS16" s="477"/>
      <c r="AT16" s="477"/>
      <c r="AU16" s="477"/>
      <c r="AV16" s="476"/>
      <c r="AW16" s="477"/>
      <c r="AX16" s="477"/>
      <c r="AY16" s="477"/>
      <c r="AZ16" s="477"/>
      <c r="BA16" s="589"/>
      <c r="BB16" s="478"/>
      <c r="BC16" s="111"/>
      <c r="BD16" s="111"/>
      <c r="BE16" s="111"/>
      <c r="BF16" s="111"/>
      <c r="BG16" s="111"/>
      <c r="BH16" s="111"/>
      <c r="BI16" s="4728"/>
      <c r="BJ16" s="529"/>
      <c r="BK16" s="323"/>
      <c r="BL16" s="325">
        <f t="shared" ref="BL16:BL25" si="4">BL15+5</f>
        <v>65</v>
      </c>
      <c r="BM16" s="326">
        <f t="shared" si="3"/>
        <v>36.805990263767441</v>
      </c>
      <c r="BN16" s="326">
        <f t="shared" si="3"/>
        <v>33.642449334244127</v>
      </c>
      <c r="BO16" s="326">
        <f t="shared" si="3"/>
        <v>30.750820426134922</v>
      </c>
      <c r="BP16" s="326">
        <f t="shared" si="3"/>
        <v>28.107732213120169</v>
      </c>
      <c r="BQ16" s="326">
        <f t="shared" si="3"/>
        <v>25.691822176328653</v>
      </c>
      <c r="BR16" s="326">
        <f t="shared" si="3"/>
        <v>23.483563943731625</v>
      </c>
      <c r="BS16" s="326">
        <f t="shared" si="3"/>
        <v>21.465109470025837</v>
      </c>
      <c r="BT16" s="326">
        <f t="shared" si="3"/>
        <v>19.620144781438903</v>
      </c>
      <c r="BU16" s="326">
        <f t="shared" si="3"/>
        <v>17.933758119527582</v>
      </c>
      <c r="BV16" s="326">
        <f t="shared" si="3"/>
        <v>16.392319418253273</v>
      </c>
      <c r="BW16" s="326">
        <f t="shared" si="3"/>
        <v>14.983370140219206</v>
      </c>
      <c r="BX16" s="326">
        <f t="shared" si="3"/>
        <v>13.695522581680803</v>
      </c>
      <c r="BY16" s="326">
        <f t="shared" si="3"/>
        <v>12.518367832471153</v>
      </c>
      <c r="BZ16" s="326">
        <f t="shared" si="3"/>
        <v>11.442391646936072</v>
      </c>
      <c r="CA16" s="326">
        <f t="shared" si="3"/>
        <v>10.45889754591327</v>
      </c>
      <c r="CB16" s="327"/>
    </row>
    <row r="17" spans="1:80" ht="13.5" customHeight="1">
      <c r="A17" s="108"/>
      <c r="B17" s="504" t="s">
        <v>43</v>
      </c>
      <c r="C17" s="505" t="str">
        <f>AD17&amp;" EBC"</f>
        <v>14.4 EBC</v>
      </c>
      <c r="D17" s="4924" t="str">
        <f>"≈  "&amp;FIXED(0.508*AD17,1)&amp;" SRM"</f>
        <v>≈  7.3 SRM</v>
      </c>
      <c r="E17" s="4924"/>
      <c r="F17" s="4925"/>
      <c r="G17" s="138" t="s">
        <v>46</v>
      </c>
      <c r="H17" s="3244">
        <v>21</v>
      </c>
      <c r="I17" s="4709" t="s">
        <v>47</v>
      </c>
      <c r="J17" s="4710"/>
      <c r="K17" s="4711"/>
      <c r="L17" s="506">
        <f>G12*L12/1000</f>
        <v>0.37393183140035263</v>
      </c>
      <c r="M17" s="508"/>
      <c r="N17" s="507">
        <f>G12*N12*568.26/1000</f>
        <v>0.64391061367140723</v>
      </c>
      <c r="O17" s="392"/>
      <c r="P17" s="506">
        <f>G12*P12*29.57/1000</f>
        <v>0.40207870016394287</v>
      </c>
      <c r="Q17" s="139"/>
      <c r="R17" s="524"/>
      <c r="S17" s="134"/>
      <c r="T17" s="483"/>
      <c r="U17" s="483"/>
      <c r="V17" s="483"/>
      <c r="W17" s="483"/>
      <c r="X17" s="483"/>
      <c r="Y17" s="3525"/>
      <c r="Z17" s="1878"/>
      <c r="AA17" s="497"/>
      <c r="AB17" s="497"/>
      <c r="AC17" s="476"/>
      <c r="AD17" s="3495" t="str">
        <f>FIXED(SUM(AZ32:AZ62)/$C6,1)</f>
        <v>14.4</v>
      </c>
      <c r="AE17" s="3495"/>
      <c r="AF17" s="477"/>
      <c r="AG17" s="477"/>
      <c r="AH17" s="477"/>
      <c r="AI17" s="477"/>
      <c r="AJ17" s="477"/>
      <c r="AK17" s="477"/>
      <c r="AL17" s="477"/>
      <c r="AM17" s="477"/>
      <c r="AN17" s="477"/>
      <c r="AO17" s="477"/>
      <c r="AP17" s="477"/>
      <c r="AQ17" s="477"/>
      <c r="AR17" s="477"/>
      <c r="AS17" s="477"/>
      <c r="AT17" s="477"/>
      <c r="AU17" s="477"/>
      <c r="AV17" s="476"/>
      <c r="AW17" s="477"/>
      <c r="AX17" s="477"/>
      <c r="AY17" s="477"/>
      <c r="AZ17" s="477"/>
      <c r="BA17" s="589"/>
      <c r="BB17" s="478"/>
      <c r="BC17" s="111"/>
      <c r="BD17" s="111"/>
      <c r="BE17" s="111"/>
      <c r="BF17" s="111"/>
      <c r="BG17" s="111"/>
      <c r="BH17" s="111"/>
      <c r="BI17" s="4728"/>
      <c r="BJ17" s="529"/>
      <c r="BK17" s="323"/>
      <c r="BL17" s="325">
        <f t="shared" si="4"/>
        <v>70</v>
      </c>
      <c r="BM17" s="326">
        <f t="shared" si="3"/>
        <v>37.3412866667082</v>
      </c>
      <c r="BN17" s="326">
        <f t="shared" si="3"/>
        <v>34.131736050500898</v>
      </c>
      <c r="BO17" s="326">
        <f t="shared" si="3"/>
        <v>31.198052070865085</v>
      </c>
      <c r="BP17" s="326">
        <f t="shared" si="3"/>
        <v>28.516523495209835</v>
      </c>
      <c r="BQ17" s="326">
        <f t="shared" si="3"/>
        <v>26.065477113946802</v>
      </c>
      <c r="BR17" s="326">
        <f t="shared" si="3"/>
        <v>23.825102568754943</v>
      </c>
      <c r="BS17" s="326">
        <f t="shared" si="3"/>
        <v>21.777292237170283</v>
      </c>
      <c r="BT17" s="326">
        <f t="shared" si="3"/>
        <v>19.905494879382605</v>
      </c>
      <c r="BU17" s="326">
        <f t="shared" si="3"/>
        <v>18.194581864352703</v>
      </c>
      <c r="BV17" s="326">
        <f t="shared" si="3"/>
        <v>16.630724894034884</v>
      </c>
      <c r="BW17" s="326">
        <f t="shared" si="3"/>
        <v>15.201284237422151</v>
      </c>
      <c r="BX17" s="326">
        <f t="shared" si="3"/>
        <v>13.894706571075719</v>
      </c>
      <c r="BY17" s="326">
        <f t="shared" si="3"/>
        <v>12.70043160044448</v>
      </c>
      <c r="BZ17" s="326">
        <f t="shared" si="3"/>
        <v>11.608806707249606</v>
      </c>
      <c r="CA17" s="326">
        <f t="shared" si="3"/>
        <v>10.611008933079631</v>
      </c>
      <c r="CB17" s="327"/>
    </row>
    <row r="18" spans="1:80" ht="13.5" customHeight="1">
      <c r="A18" s="108"/>
      <c r="B18" s="3496"/>
      <c r="C18" s="509"/>
      <c r="D18" s="510"/>
      <c r="E18" s="510"/>
      <c r="F18" s="510"/>
      <c r="G18" s="141"/>
      <c r="H18" s="492"/>
      <c r="I18" s="492"/>
      <c r="J18" s="511"/>
      <c r="K18" s="511"/>
      <c r="L18" s="511"/>
      <c r="M18" s="511"/>
      <c r="N18" s="511"/>
      <c r="O18" s="511"/>
      <c r="P18" s="511"/>
      <c r="Q18" s="511"/>
      <c r="R18" s="511"/>
      <c r="S18" s="511"/>
      <c r="T18" s="511"/>
      <c r="U18" s="511"/>
      <c r="V18" s="511"/>
      <c r="W18" s="511"/>
      <c r="X18" s="512"/>
      <c r="Y18" s="3525"/>
      <c r="Z18" s="484"/>
      <c r="AA18" s="497"/>
      <c r="AB18" s="497"/>
      <c r="AC18" s="476"/>
      <c r="AD18" s="3495"/>
      <c r="AE18" s="3495"/>
      <c r="AF18" s="477"/>
      <c r="AG18" s="477"/>
      <c r="AH18" s="477"/>
      <c r="AI18" s="477"/>
      <c r="AJ18" s="477"/>
      <c r="AK18" s="477"/>
      <c r="AL18" s="477"/>
      <c r="AM18" s="477"/>
      <c r="AN18" s="477"/>
      <c r="AO18" s="477"/>
      <c r="AP18" s="477"/>
      <c r="AQ18" s="477"/>
      <c r="AR18" s="477"/>
      <c r="AS18" s="477"/>
      <c r="AT18" s="477"/>
      <c r="AU18" s="477"/>
      <c r="AV18" s="476"/>
      <c r="AW18" s="477"/>
      <c r="AX18" s="477"/>
      <c r="AY18" s="477"/>
      <c r="AZ18" s="477"/>
      <c r="BA18" s="589"/>
      <c r="BB18" s="478"/>
      <c r="BC18" s="111"/>
      <c r="BD18" s="111"/>
      <c r="BE18" s="111"/>
      <c r="BF18" s="111"/>
      <c r="BG18" s="111"/>
      <c r="BH18" s="111"/>
      <c r="BI18" s="111"/>
      <c r="BJ18" s="529"/>
      <c r="BK18" s="323"/>
      <c r="BL18" s="325">
        <f t="shared" si="4"/>
        <v>75</v>
      </c>
      <c r="BM18" s="326">
        <f t="shared" si="3"/>
        <v>37.779550293807816</v>
      </c>
      <c r="BN18" s="326">
        <f t="shared" si="3"/>
        <v>34.532330132172852</v>
      </c>
      <c r="BO18" s="326">
        <f t="shared" si="3"/>
        <v>31.564214372155313</v>
      </c>
      <c r="BP18" s="326">
        <f t="shared" si="3"/>
        <v>28.851213489446817</v>
      </c>
      <c r="BQ18" s="326">
        <f t="shared" si="3"/>
        <v>26.371399902414211</v>
      </c>
      <c r="BR18" s="326">
        <f t="shared" si="3"/>
        <v>24.104730744425499</v>
      </c>
      <c r="BS18" s="326">
        <f t="shared" si="3"/>
        <v>22.032885869212421</v>
      </c>
      <c r="BT18" s="326">
        <f t="shared" si="3"/>
        <v>20.139119779962929</v>
      </c>
      <c r="BU18" s="326">
        <f t="shared" si="3"/>
        <v>18.408126285373989</v>
      </c>
      <c r="BV18" s="326">
        <f t="shared" si="3"/>
        <v>16.825914788759476</v>
      </c>
      <c r="BW18" s="326">
        <f t="shared" si="3"/>
        <v>15.379697210331424</v>
      </c>
      <c r="BX18" s="326">
        <f t="shared" si="3"/>
        <v>14.057784628714094</v>
      </c>
      <c r="BY18" s="326">
        <f t="shared" si="3"/>
        <v>12.849492806305495</v>
      </c>
      <c r="BZ18" s="326">
        <f t="shared" si="3"/>
        <v>11.745055834903624</v>
      </c>
      <c r="CA18" s="326">
        <f t="shared" si="3"/>
        <v>10.735547203646082</v>
      </c>
      <c r="CB18" s="327"/>
    </row>
    <row r="19" spans="1:80" ht="13.5" customHeight="1">
      <c r="A19" s="108"/>
      <c r="B19" s="3487"/>
      <c r="C19" s="513"/>
      <c r="D19" s="403"/>
      <c r="E19" s="403"/>
      <c r="F19" s="403"/>
      <c r="G19" s="403"/>
      <c r="H19" s="492"/>
      <c r="I19" s="492"/>
      <c r="J19" s="4822" t="s">
        <v>318</v>
      </c>
      <c r="K19" s="4822"/>
      <c r="L19" s="4822"/>
      <c r="M19" s="4822"/>
      <c r="N19" s="4822"/>
      <c r="O19" s="4822"/>
      <c r="P19" s="4822"/>
      <c r="Q19" s="4822"/>
      <c r="R19" s="340"/>
      <c r="S19" s="340"/>
      <c r="T19" s="340"/>
      <c r="U19" s="340"/>
      <c r="V19" s="340"/>
      <c r="W19" s="340"/>
      <c r="X19" s="340"/>
      <c r="Y19" s="341"/>
      <c r="Z19" s="340"/>
      <c r="AA19" s="340"/>
      <c r="AB19" s="340"/>
      <c r="AC19" s="476"/>
      <c r="AD19" s="476"/>
      <c r="AE19" s="476"/>
      <c r="AF19" s="476"/>
      <c r="AG19" s="476"/>
      <c r="AH19" s="476"/>
      <c r="AI19" s="477"/>
      <c r="AJ19" s="477"/>
      <c r="AK19" s="477"/>
      <c r="AL19" s="477"/>
      <c r="AM19" s="477"/>
      <c r="AN19" s="477"/>
      <c r="AO19" s="477"/>
      <c r="AP19" s="477"/>
      <c r="AQ19" s="477"/>
      <c r="AR19" s="477"/>
      <c r="AS19" s="477"/>
      <c r="AT19" s="477"/>
      <c r="AU19" s="477"/>
      <c r="AV19" s="476"/>
      <c r="AW19" s="477"/>
      <c r="AX19" s="477"/>
      <c r="AY19" s="477"/>
      <c r="AZ19" s="477"/>
      <c r="BA19" s="589"/>
      <c r="BB19" s="478"/>
      <c r="BC19" s="111"/>
      <c r="BD19" s="111"/>
      <c r="BE19" s="111"/>
      <c r="BF19" s="111"/>
      <c r="BG19" s="111"/>
      <c r="BH19" s="111"/>
      <c r="BI19" s="111"/>
      <c r="BJ19" s="529"/>
      <c r="BK19" s="323"/>
      <c r="BL19" s="325">
        <f t="shared" si="4"/>
        <v>80</v>
      </c>
      <c r="BM19" s="326">
        <f t="shared" si="3"/>
        <v>38.138370203269773</v>
      </c>
      <c r="BN19" s="326">
        <f t="shared" si="3"/>
        <v>34.860308826338716</v>
      </c>
      <c r="BO19" s="326">
        <f t="shared" si="3"/>
        <v>31.864002708839436</v>
      </c>
      <c r="BP19" s="326">
        <f t="shared" si="3"/>
        <v>29.125234480476131</v>
      </c>
      <c r="BQ19" s="326">
        <f t="shared" si="3"/>
        <v>26.621868297399857</v>
      </c>
      <c r="BR19" s="326">
        <f t="shared" si="3"/>
        <v>24.333670931274082</v>
      </c>
      <c r="BS19" s="326">
        <f t="shared" si="3"/>
        <v>22.242148236056217</v>
      </c>
      <c r="BT19" s="326">
        <f t="shared" si="3"/>
        <v>20.330395670752825</v>
      </c>
      <c r="BU19" s="326">
        <f t="shared" si="3"/>
        <v>18.582961670012352</v>
      </c>
      <c r="BV19" s="326">
        <f t="shared" si="3"/>
        <v>16.985722758260557</v>
      </c>
      <c r="BW19" s="326">
        <f t="shared" si="3"/>
        <v>15.525769398000316</v>
      </c>
      <c r="BX19" s="326">
        <f t="shared" si="3"/>
        <v>14.191301649654857</v>
      </c>
      <c r="BY19" s="326">
        <f t="shared" si="3"/>
        <v>12.971533799634797</v>
      </c>
      <c r="BZ19" s="326">
        <f t="shared" si="3"/>
        <v>11.856607185794015</v>
      </c>
      <c r="CA19" s="326">
        <f t="shared" si="3"/>
        <v>10.837510515693982</v>
      </c>
      <c r="CB19" s="327"/>
    </row>
    <row r="20" spans="1:80" ht="13.5" customHeight="1">
      <c r="A20" s="108"/>
      <c r="B20" s="492"/>
      <c r="C20" s="344"/>
      <c r="D20" s="492"/>
      <c r="E20" s="492"/>
      <c r="F20" s="492"/>
      <c r="G20" s="492"/>
      <c r="H20" s="492"/>
      <c r="I20" s="492"/>
      <c r="J20" s="4822"/>
      <c r="K20" s="4822"/>
      <c r="L20" s="4822"/>
      <c r="M20" s="4822"/>
      <c r="N20" s="4822"/>
      <c r="O20" s="4822"/>
      <c r="P20" s="4822"/>
      <c r="Q20" s="4822"/>
      <c r="R20" s="607"/>
      <c r="S20" s="607"/>
      <c r="T20" s="607"/>
      <c r="U20" s="607"/>
      <c r="V20" s="607"/>
      <c r="W20" s="607"/>
      <c r="X20" s="340"/>
      <c r="Y20" s="340"/>
      <c r="Z20" s="340"/>
      <c r="AA20" s="340"/>
      <c r="AB20" s="340"/>
      <c r="AC20" s="476"/>
      <c r="AD20" s="476"/>
      <c r="AE20" s="476"/>
      <c r="AF20" s="476"/>
      <c r="AG20" s="476"/>
      <c r="AH20" s="476"/>
      <c r="AI20" s="477"/>
      <c r="AJ20" s="477"/>
      <c r="AK20" s="477"/>
      <c r="AL20" s="477"/>
      <c r="AM20" s="477"/>
      <c r="AN20" s="477"/>
      <c r="AO20" s="477"/>
      <c r="AP20" s="477"/>
      <c r="AQ20" s="477"/>
      <c r="AR20" s="477"/>
      <c r="AS20" s="477"/>
      <c r="AT20" s="477"/>
      <c r="AU20" s="477"/>
      <c r="AV20" s="476"/>
      <c r="AW20" s="477"/>
      <c r="AX20" s="477"/>
      <c r="AY20" s="477"/>
      <c r="AZ20" s="477"/>
      <c r="BA20" s="589"/>
      <c r="BB20" s="478"/>
      <c r="BC20" s="111"/>
      <c r="BD20" s="111"/>
      <c r="BE20" s="111"/>
      <c r="BF20" s="111"/>
      <c r="BG20" s="111"/>
      <c r="BH20" s="111"/>
      <c r="BI20" s="111"/>
      <c r="BJ20" s="529"/>
      <c r="BK20" s="323"/>
      <c r="BL20" s="325">
        <f t="shared" si="4"/>
        <v>85</v>
      </c>
      <c r="BM20" s="326">
        <f t="shared" si="3"/>
        <v>38.43214709796294</v>
      </c>
      <c r="BN20" s="326">
        <f t="shared" si="3"/>
        <v>35.128835069606673</v>
      </c>
      <c r="BO20" s="326">
        <f t="shared" si="3"/>
        <v>32.109448639496811</v>
      </c>
      <c r="BP20" s="326">
        <f t="shared" si="3"/>
        <v>29.349583892820732</v>
      </c>
      <c r="BQ20" s="326">
        <f t="shared" si="3"/>
        <v>26.826934475048681</v>
      </c>
      <c r="BR20" s="326">
        <f t="shared" si="3"/>
        <v>24.52111130286243</v>
      </c>
      <c r="BS20" s="326">
        <f t="shared" si="3"/>
        <v>22.413477771253117</v>
      </c>
      <c r="BT20" s="326">
        <f t="shared" si="3"/>
        <v>20.486999124864901</v>
      </c>
      <c r="BU20" s="326">
        <f t="shared" si="3"/>
        <v>18.726104776141995</v>
      </c>
      <c r="BV20" s="326">
        <f t="shared" si="3"/>
        <v>17.11656245747804</v>
      </c>
      <c r="BW20" s="326">
        <f t="shared" si="3"/>
        <v>15.645363190214216</v>
      </c>
      <c r="BX20" s="326">
        <f t="shared" si="3"/>
        <v>14.300616140758414</v>
      </c>
      <c r="BY20" s="326">
        <f t="shared" si="3"/>
        <v>13.07145251400968</v>
      </c>
      <c r="BZ20" s="326">
        <f t="shared" si="3"/>
        <v>11.947937707315372</v>
      </c>
      <c r="CA20" s="326">
        <f t="shared" si="3"/>
        <v>10.920991014953284</v>
      </c>
      <c r="CB20" s="327"/>
    </row>
    <row r="21" spans="1:80" ht="13.5" customHeight="1">
      <c r="A21" s="108"/>
      <c r="B21" s="524"/>
      <c r="C21" s="3492"/>
      <c r="D21" s="3492"/>
      <c r="E21" s="3492"/>
      <c r="F21" s="3492"/>
      <c r="G21" s="3492"/>
      <c r="H21" s="3492"/>
      <c r="I21" s="478"/>
      <c r="J21" s="514"/>
      <c r="K21" s="514"/>
      <c r="L21" s="4716" t="s">
        <v>319</v>
      </c>
      <c r="M21" s="4716"/>
      <c r="N21" s="4716"/>
      <c r="O21" s="4716"/>
      <c r="P21" s="607"/>
      <c r="Q21" s="514"/>
      <c r="R21" s="514"/>
      <c r="S21" s="514"/>
      <c r="T21" s="514"/>
      <c r="U21" s="514"/>
      <c r="V21" s="514"/>
      <c r="W21" s="514"/>
      <c r="X21" s="514"/>
      <c r="Y21" s="514"/>
      <c r="Z21" s="608"/>
      <c r="AA21" s="515"/>
      <c r="AB21" s="515"/>
      <c r="AC21" s="4717" t="s">
        <v>64</v>
      </c>
      <c r="AD21" s="4717"/>
      <c r="AE21" s="4717"/>
      <c r="AF21" s="4717"/>
      <c r="AG21" s="4717"/>
      <c r="AH21" s="4717"/>
      <c r="AI21" s="4717"/>
      <c r="AJ21" s="4717"/>
      <c r="AK21" s="4717"/>
      <c r="AL21" s="4717"/>
      <c r="AM21" s="4717"/>
      <c r="AN21" s="4717"/>
      <c r="AO21" s="4717"/>
      <c r="AP21" s="4717"/>
      <c r="AQ21" s="4717"/>
      <c r="AR21" s="4717"/>
      <c r="AS21" s="4717"/>
      <c r="AT21" s="4717"/>
      <c r="AU21" s="4717"/>
      <c r="AV21" s="4717"/>
      <c r="AW21" s="4717"/>
      <c r="AX21" s="4717"/>
      <c r="AY21" s="4717"/>
      <c r="AZ21" s="4717"/>
      <c r="BA21" s="589"/>
      <c r="BB21" s="478"/>
      <c r="BC21" s="111"/>
      <c r="BD21" s="111"/>
      <c r="BE21" s="111"/>
      <c r="BF21" s="111"/>
      <c r="BG21" s="111"/>
      <c r="BH21" s="111"/>
      <c r="BI21" s="111"/>
      <c r="BJ21" s="529"/>
      <c r="BK21" s="323"/>
      <c r="BL21" s="325">
        <f t="shared" si="4"/>
        <v>90</v>
      </c>
      <c r="BM21" s="326">
        <f t="shared" si="3"/>
        <v>38.672671276191984</v>
      </c>
      <c r="BN21" s="326">
        <f t="shared" si="3"/>
        <v>35.348685762978647</v>
      </c>
      <c r="BO21" s="326">
        <f t="shared" si="3"/>
        <v>32.310402771143856</v>
      </c>
      <c r="BP21" s="326">
        <f t="shared" si="3"/>
        <v>29.533265656142234</v>
      </c>
      <c r="BQ21" s="326">
        <f t="shared" si="3"/>
        <v>26.994828461105929</v>
      </c>
      <c r="BR21" s="326">
        <f t="shared" si="3"/>
        <v>24.674574499450177</v>
      </c>
      <c r="BS21" s="326">
        <f t="shared" si="3"/>
        <v>22.55375053062938</v>
      </c>
      <c r="BT21" s="326">
        <f t="shared" si="3"/>
        <v>20.615215188784695</v>
      </c>
      <c r="BU21" s="326">
        <f t="shared" si="3"/>
        <v>18.843300439221441</v>
      </c>
      <c r="BV21" s="326">
        <f t="shared" si="3"/>
        <v>17.223684942950864</v>
      </c>
      <c r="BW21" s="326">
        <f t="shared" si="3"/>
        <v>15.743278305776956</v>
      </c>
      <c r="BX21" s="326">
        <f t="shared" si="3"/>
        <v>14.390115276381968</v>
      </c>
      <c r="BY21" s="326">
        <f t="shared" si="3"/>
        <v>13.153259038276413</v>
      </c>
      <c r="BZ21" s="326">
        <f t="shared" si="3"/>
        <v>12.022712813979556</v>
      </c>
      <c r="CA21" s="326">
        <f t="shared" si="3"/>
        <v>10.989339066979179</v>
      </c>
      <c r="CB21" s="327"/>
    </row>
    <row r="22" spans="1:80" ht="13.5" customHeight="1">
      <c r="A22" s="108"/>
      <c r="B22" s="4885" t="s">
        <v>320</v>
      </c>
      <c r="C22" s="4885"/>
      <c r="D22" s="4885"/>
      <c r="E22" s="4885"/>
      <c r="F22" s="4885"/>
      <c r="G22" s="4885"/>
      <c r="H22" s="4885"/>
      <c r="I22" s="478"/>
      <c r="J22" s="514"/>
      <c r="K22" s="514"/>
      <c r="L22" s="514"/>
      <c r="M22" s="514"/>
      <c r="N22" s="514"/>
      <c r="O22" s="514"/>
      <c r="P22" s="514"/>
      <c r="Q22" s="514"/>
      <c r="R22" s="514"/>
      <c r="S22" s="514"/>
      <c r="T22" s="514"/>
      <c r="U22" s="514"/>
      <c r="V22" s="514"/>
      <c r="W22" s="514"/>
      <c r="X22" s="514"/>
      <c r="Y22" s="514"/>
      <c r="Z22" s="514"/>
      <c r="AA22" s="1876"/>
      <c r="AB22" s="478"/>
      <c r="AC22" s="3524"/>
      <c r="AD22" s="3524"/>
      <c r="AE22" s="3524"/>
      <c r="AF22" s="3524"/>
      <c r="AG22" s="3524"/>
      <c r="AH22" s="3524"/>
      <c r="AI22" s="3524"/>
      <c r="AJ22" s="3524"/>
      <c r="AK22" s="3524"/>
      <c r="AL22" s="3524"/>
      <c r="AM22" s="3524"/>
      <c r="AN22" s="3524"/>
      <c r="AO22" s="3524"/>
      <c r="AP22" s="3524"/>
      <c r="AQ22" s="3524"/>
      <c r="AR22" s="3524"/>
      <c r="AS22" s="3524"/>
      <c r="AT22" s="3524"/>
      <c r="AU22" s="3524"/>
      <c r="AV22" s="3524"/>
      <c r="AW22" s="3524"/>
      <c r="AX22" s="3524"/>
      <c r="AY22" s="3524"/>
      <c r="AZ22" s="3524"/>
      <c r="BA22" s="589"/>
      <c r="BB22" s="478"/>
      <c r="BC22" s="111"/>
      <c r="BD22" s="111"/>
      <c r="BE22" s="111"/>
      <c r="BF22" s="111"/>
      <c r="BG22" s="111"/>
      <c r="BH22" s="111"/>
      <c r="BI22" s="111"/>
      <c r="BJ22" s="529"/>
      <c r="BK22" s="323"/>
      <c r="BL22" s="325">
        <f t="shared" si="4"/>
        <v>95</v>
      </c>
      <c r="BM22" s="326">
        <f t="shared" si="3"/>
        <v>38.869595817766914</v>
      </c>
      <c r="BN22" s="326">
        <f t="shared" si="3"/>
        <v>35.528684286727795</v>
      </c>
      <c r="BO22" s="326">
        <f t="shared" si="3"/>
        <v>32.474930098681376</v>
      </c>
      <c r="BP22" s="326">
        <f t="shared" si="3"/>
        <v>29.683651564553138</v>
      </c>
      <c r="BQ22" s="326">
        <f t="shared" si="3"/>
        <v>27.132288430747845</v>
      </c>
      <c r="BR22" s="326">
        <f t="shared" si="3"/>
        <v>24.800219537962217</v>
      </c>
      <c r="BS22" s="326">
        <f t="shared" si="3"/>
        <v>22.668596152549831</v>
      </c>
      <c r="BT22" s="326">
        <f t="shared" si="3"/>
        <v>20.72018962335444</v>
      </c>
      <c r="BU22" s="326">
        <f t="shared" si="3"/>
        <v>18.939252132711946</v>
      </c>
      <c r="BV22" s="326">
        <f t="shared" si="3"/>
        <v>17.311389416153613</v>
      </c>
      <c r="BW22" s="326">
        <f t="shared" si="3"/>
        <v>15.823444422079353</v>
      </c>
      <c r="BX22" s="326">
        <f t="shared" si="3"/>
        <v>14.463390971090869</v>
      </c>
      <c r="BY22" s="326">
        <f t="shared" si="3"/>
        <v>13.220236555496008</v>
      </c>
      <c r="BZ22" s="326">
        <f t="shared" si="3"/>
        <v>12.083933493370212</v>
      </c>
      <c r="CA22" s="326">
        <f t="shared" si="3"/>
        <v>11.045297719085754</v>
      </c>
      <c r="CB22" s="327"/>
    </row>
    <row r="23" spans="1:80" ht="12.75" customHeight="1">
      <c r="A23" s="492"/>
      <c r="B23" s="4886" t="s">
        <v>321</v>
      </c>
      <c r="C23" s="4886"/>
      <c r="D23" s="4887" t="s">
        <v>1760</v>
      </c>
      <c r="E23" s="4887"/>
      <c r="F23" s="4887"/>
      <c r="G23" s="4887"/>
      <c r="H23" s="451"/>
      <c r="I23" s="451"/>
      <c r="J23" s="451"/>
      <c r="K23" s="451"/>
      <c r="L23" s="514"/>
      <c r="M23" s="514"/>
      <c r="N23" s="514"/>
      <c r="O23" s="451"/>
      <c r="P23" s="451"/>
      <c r="Q23" s="451"/>
      <c r="R23" s="451"/>
      <c r="S23" s="451"/>
      <c r="T23" s="451"/>
      <c r="U23" s="451"/>
      <c r="V23" s="516"/>
      <c r="W23" s="516"/>
      <c r="X23" s="516"/>
      <c r="Y23" s="516"/>
      <c r="Z23" s="516"/>
      <c r="AA23" s="517"/>
      <c r="AB23" s="517"/>
      <c r="AC23" s="518"/>
      <c r="AD23" s="3536"/>
      <c r="AE23" s="3536"/>
      <c r="AF23" s="3536"/>
      <c r="AG23" s="3536"/>
      <c r="AH23" s="3536"/>
      <c r="AI23" s="3536"/>
      <c r="AJ23" s="3536"/>
      <c r="AK23" s="3536"/>
      <c r="AL23" s="3536"/>
      <c r="AM23" s="3536"/>
      <c r="AN23" s="3536"/>
      <c r="AO23" s="3536"/>
      <c r="AP23" s="3536"/>
      <c r="AQ23" s="3536"/>
      <c r="AR23" s="3536"/>
      <c r="AS23" s="3536"/>
      <c r="AT23" s="3536"/>
      <c r="AU23" s="3536"/>
      <c r="AV23" s="3536"/>
      <c r="AW23" s="3536"/>
      <c r="AX23" s="3536"/>
      <c r="AY23" s="3536"/>
      <c r="AZ23" s="313"/>
      <c r="BA23" s="589"/>
      <c r="BB23" s="478"/>
      <c r="BC23" s="111"/>
      <c r="BD23" s="111"/>
      <c r="BE23" s="111"/>
      <c r="BF23" s="111"/>
      <c r="BG23" s="111"/>
      <c r="BH23" s="111"/>
      <c r="BI23" s="313"/>
      <c r="BJ23" s="529"/>
      <c r="BK23" s="323"/>
      <c r="BL23" s="325">
        <f t="shared" si="4"/>
        <v>100</v>
      </c>
      <c r="BM23" s="326">
        <f t="shared" si="3"/>
        <v>39.030823995990076</v>
      </c>
      <c r="BN23" s="326">
        <f t="shared" si="3"/>
        <v>35.676054613629859</v>
      </c>
      <c r="BO23" s="326">
        <f t="shared" si="3"/>
        <v>32.609633681458071</v>
      </c>
      <c r="BP23" s="326">
        <f t="shared" si="3"/>
        <v>29.806777132598711</v>
      </c>
      <c r="BQ23" s="326">
        <f t="shared" si="3"/>
        <v>27.244831135210845</v>
      </c>
      <c r="BR23" s="326">
        <f t="shared" si="3"/>
        <v>24.903088994963689</v>
      </c>
      <c r="BS23" s="326">
        <f t="shared" si="3"/>
        <v>22.762623795072468</v>
      </c>
      <c r="BT23" s="326">
        <f t="shared" si="3"/>
        <v>20.806135421223662</v>
      </c>
      <c r="BU23" s="326">
        <f t="shared" si="3"/>
        <v>19.017810734982536</v>
      </c>
      <c r="BV23" s="326">
        <f t="shared" si="3"/>
        <v>17.38319576554721</v>
      </c>
      <c r="BW23" s="326">
        <f t="shared" si="3"/>
        <v>15.889078886850953</v>
      </c>
      <c r="BX23" s="326">
        <f t="shared" si="3"/>
        <v>14.523384035802197</v>
      </c>
      <c r="BY23" s="326">
        <f t="shared" si="3"/>
        <v>13.275073108608499</v>
      </c>
      <c r="BZ23" s="326">
        <f t="shared" si="3"/>
        <v>12.134056746311668</v>
      </c>
      <c r="CA23" s="326">
        <f t="shared" si="3"/>
        <v>11.091112788466196</v>
      </c>
      <c r="CB23" s="327"/>
    </row>
    <row r="24" spans="1:80" ht="12.75" customHeight="1">
      <c r="A24" s="903"/>
      <c r="B24" s="2887" t="s">
        <v>322</v>
      </c>
      <c r="C24" s="2349">
        <v>1000</v>
      </c>
      <c r="D24" s="4906" t="str">
        <f>"g = "&amp;1*FIXED(('Beer Data Sheet'!$Z$42/'Beer Data Sheet'!$Z$48)*($C$7/100)*C24,0)&amp;"g LIQUID Extract †"</f>
        <v>g = 726g LIQUID Extract †</v>
      </c>
      <c r="E24" s="4907"/>
      <c r="F24" s="4907"/>
      <c r="G24" s="882" t="str">
        <f>"= "&amp;1*FIXED(C24*'Beer Data Sheet'!$Z$42*($C$7/100)/'Beer Data Sheet'!$Z$49,0)&amp;"g DRY Extract †"</f>
        <v>= 616g DRY Extract †</v>
      </c>
      <c r="H24" s="451"/>
      <c r="I24" s="406" t="s">
        <v>56</v>
      </c>
      <c r="J24" s="519" t="s">
        <v>323</v>
      </c>
      <c r="K24" s="406" t="s">
        <v>58</v>
      </c>
      <c r="L24" s="514"/>
      <c r="M24" s="514"/>
      <c r="N24" s="520"/>
      <c r="O24" s="451"/>
      <c r="P24" s="451"/>
      <c r="Q24" s="451"/>
      <c r="R24" s="451"/>
      <c r="S24" s="451"/>
      <c r="T24" s="451"/>
      <c r="U24" s="451"/>
      <c r="V24" s="145"/>
      <c r="W24" s="145"/>
      <c r="X24" s="145"/>
      <c r="Y24" s="145"/>
      <c r="Z24" s="145"/>
      <c r="AA24" s="492"/>
      <c r="AB24" s="492"/>
      <c r="AC24" s="476"/>
      <c r="AD24" s="476"/>
      <c r="AE24" s="476"/>
      <c r="AF24" s="476"/>
      <c r="AG24" s="476"/>
      <c r="AH24" s="476"/>
      <c r="AI24" s="477"/>
      <c r="AJ24" s="477"/>
      <c r="AK24" s="477"/>
      <c r="AL24" s="477"/>
      <c r="AM24" s="477"/>
      <c r="AN24" s="477"/>
      <c r="AO24" s="477"/>
      <c r="AP24" s="477"/>
      <c r="AQ24" s="477"/>
      <c r="AR24" s="477"/>
      <c r="AS24" s="477"/>
      <c r="AT24" s="477"/>
      <c r="AU24" s="477"/>
      <c r="AV24" s="476"/>
      <c r="AW24" s="477"/>
      <c r="AX24" s="477"/>
      <c r="AY24" s="477"/>
      <c r="AZ24" s="477"/>
      <c r="BA24" s="589"/>
      <c r="BB24" s="478"/>
      <c r="BC24" s="111"/>
      <c r="BD24" s="111"/>
      <c r="BE24" s="4727"/>
      <c r="BF24" s="4727"/>
      <c r="BG24" s="4727"/>
      <c r="BH24" s="305"/>
      <c r="BI24" s="305"/>
      <c r="BJ24" s="529"/>
      <c r="BK24" s="323"/>
      <c r="BL24" s="325">
        <f t="shared" si="4"/>
        <v>105</v>
      </c>
      <c r="BM24" s="326">
        <f t="shared" si="3"/>
        <v>39.162826463764134</v>
      </c>
      <c r="BN24" s="326">
        <f t="shared" si="3"/>
        <v>35.796711232355733</v>
      </c>
      <c r="BO24" s="326">
        <f t="shared" si="3"/>
        <v>32.719919647227144</v>
      </c>
      <c r="BP24" s="326">
        <f t="shared" si="3"/>
        <v>29.907583821647819</v>
      </c>
      <c r="BQ24" s="326">
        <f t="shared" si="3"/>
        <v>27.336973308389272</v>
      </c>
      <c r="BR24" s="326">
        <f t="shared" si="3"/>
        <v>24.987311382963235</v>
      </c>
      <c r="BS24" s="326">
        <f t="shared" si="3"/>
        <v>22.83960711764518</v>
      </c>
      <c r="BT24" s="326">
        <f t="shared" si="3"/>
        <v>20.876501889037023</v>
      </c>
      <c r="BU24" s="326">
        <f t="shared" si="3"/>
        <v>19.082129078580294</v>
      </c>
      <c r="BV24" s="326">
        <f t="shared" si="3"/>
        <v>17.441985832062009</v>
      </c>
      <c r="BW24" s="326">
        <f t="shared" si="3"/>
        <v>15.942815841621275</v>
      </c>
      <c r="BX24" s="326">
        <f t="shared" si="3"/>
        <v>14.57250220285276</v>
      </c>
      <c r="BY24" s="326">
        <f t="shared" si="3"/>
        <v>13.319969481034491</v>
      </c>
      <c r="BZ24" s="326">
        <f t="shared" si="3"/>
        <v>12.175094194939145</v>
      </c>
      <c r="CA24" s="326">
        <f t="shared" si="3"/>
        <v>11.128622994722367</v>
      </c>
      <c r="CB24" s="327"/>
    </row>
    <row r="25" spans="1:80" ht="12.75" customHeight="1">
      <c r="A25" s="903"/>
      <c r="B25" s="2888" t="s">
        <v>325</v>
      </c>
      <c r="C25" s="2349">
        <v>1000</v>
      </c>
      <c r="D25" s="4906" t="str">
        <f>"g = "&amp;1*FIXED(('Beer Data Sheet'!$Z$48/'Beer Data Sheet'!$Z$49)*C25,0)&amp;"g DRY Extract"</f>
        <v>g = 849g DRY Extract</v>
      </c>
      <c r="E25" s="4907"/>
      <c r="F25" s="4907"/>
      <c r="G25" s="883" t="str">
        <f>"= "&amp;1*FIXED(C25*'Beer Data Sheet'!$Z$48/('Beer Data Sheet'!$Z$42*($C$7/100)),0)&amp;"g Pale MALT †"</f>
        <v>= 1378g Pale MALT †</v>
      </c>
      <c r="H25" s="451"/>
      <c r="I25" s="409">
        <f>J25*'Beer Data Sheet'!$Z$49/'Beer Data Sheet'!$Z$48</f>
        <v>1177.4193548387098</v>
      </c>
      <c r="J25" s="410">
        <v>1000</v>
      </c>
      <c r="K25" s="409">
        <f>J25*'Beer Data Sheet'!$Z$48/'Beer Data Sheet'!$Z$49</f>
        <v>849.31506849315065</v>
      </c>
      <c r="L25" s="514"/>
      <c r="M25" s="514"/>
      <c r="N25" s="521"/>
      <c r="O25" s="451"/>
      <c r="P25" s="145"/>
      <c r="Q25" s="145"/>
      <c r="R25" s="145"/>
      <c r="S25" s="145"/>
      <c r="T25" s="145"/>
      <c r="U25" s="145"/>
      <c r="V25" s="145"/>
      <c r="W25" s="145"/>
      <c r="X25" s="145"/>
      <c r="Y25" s="145"/>
      <c r="Z25" s="145"/>
      <c r="AA25" s="492"/>
      <c r="AB25" s="492"/>
      <c r="AC25" s="518"/>
      <c r="AD25" s="3536"/>
      <c r="AE25" s="3536"/>
      <c r="AF25" s="3536"/>
      <c r="AG25" s="3536"/>
      <c r="AH25" s="3536"/>
      <c r="AI25" s="3536"/>
      <c r="AJ25" s="3536"/>
      <c r="AK25" s="3536"/>
      <c r="AL25" s="3536"/>
      <c r="AM25" s="3536"/>
      <c r="AN25" s="3536"/>
      <c r="AO25" s="3536"/>
      <c r="AP25" s="3536"/>
      <c r="AQ25" s="3536"/>
      <c r="AR25" s="3536"/>
      <c r="AS25" s="3536"/>
      <c r="AT25" s="3536"/>
      <c r="AU25" s="3536"/>
      <c r="AV25" s="3536"/>
      <c r="AW25" s="3536"/>
      <c r="AX25" s="3536"/>
      <c r="AY25" s="3536"/>
      <c r="AZ25" s="313"/>
      <c r="BA25" s="589"/>
      <c r="BB25" s="478"/>
      <c r="BC25" s="111"/>
      <c r="BD25" s="111"/>
      <c r="BE25" s="313"/>
      <c r="BF25" s="307"/>
      <c r="BG25" s="307"/>
      <c r="BH25" s="307"/>
      <c r="BI25" s="307"/>
      <c r="BJ25" s="529"/>
      <c r="BK25" s="323"/>
      <c r="BL25" s="325">
        <f t="shared" si="4"/>
        <v>110</v>
      </c>
      <c r="BM25" s="326">
        <f t="shared" si="3"/>
        <v>39.270900943612936</v>
      </c>
      <c r="BN25" s="326">
        <f t="shared" si="3"/>
        <v>35.895496516669013</v>
      </c>
      <c r="BO25" s="326">
        <f t="shared" si="3"/>
        <v>32.810214159035191</v>
      </c>
      <c r="BP25" s="326">
        <f t="shared" si="3"/>
        <v>29.990117358088291</v>
      </c>
      <c r="BQ25" s="326">
        <f t="shared" si="3"/>
        <v>27.412412939225884</v>
      </c>
      <c r="BR25" s="326">
        <f t="shared" si="3"/>
        <v>25.05626684211612</v>
      </c>
      <c r="BS25" s="326">
        <f t="shared" si="3"/>
        <v>22.90263573130958</v>
      </c>
      <c r="BT25" s="326">
        <f t="shared" si="3"/>
        <v>20.934113080221287</v>
      </c>
      <c r="BU25" s="326">
        <f t="shared" si="3"/>
        <v>19.13478848447081</v>
      </c>
      <c r="BV25" s="326">
        <f t="shared" si="3"/>
        <v>17.490119067493175</v>
      </c>
      <c r="BW25" s="326">
        <f t="shared" si="3"/>
        <v>15.986811939068499</v>
      </c>
      <c r="BX25" s="326">
        <f t="shared" si="3"/>
        <v>14.612716756751878</v>
      </c>
      <c r="BY25" s="326">
        <f t="shared" si="3"/>
        <v>13.356727521841291</v>
      </c>
      <c r="BZ25" s="326">
        <f t="shared" si="3"/>
        <v>12.208692816158319</v>
      </c>
      <c r="CA25" s="326">
        <f t="shared" si="3"/>
        <v>11.159333754138594</v>
      </c>
      <c r="CB25" s="327"/>
    </row>
    <row r="26" spans="1:80" ht="12.75" customHeight="1">
      <c r="A26" s="903"/>
      <c r="B26" s="2889" t="s">
        <v>326</v>
      </c>
      <c r="C26" s="2349">
        <v>1000</v>
      </c>
      <c r="D26" s="4906" t="str">
        <f>"g = "&amp;1*FIXED(('Beer Data Sheet'!$Z$49/'Beer Data Sheet'!$Z$48)*C26,0)&amp;"g LIQUID Extract"</f>
        <v>g = 1177g LIQUID Extract</v>
      </c>
      <c r="E26" s="4907"/>
      <c r="F26" s="4907"/>
      <c r="G26" s="884" t="str">
        <f>"= "&amp;1*FIXED(C26*'Beer Data Sheet'!$Z$49/('Beer Data Sheet'!$Z$42*($C$7/100)),0)&amp;"g Pale MALT †"</f>
        <v>= 1622g Pale MALT †</v>
      </c>
      <c r="H26" s="451"/>
      <c r="I26" s="451"/>
      <c r="J26" s="451"/>
      <c r="K26" s="451"/>
      <c r="L26" s="451"/>
      <c r="M26" s="451"/>
      <c r="N26" s="451"/>
      <c r="O26" s="451"/>
      <c r="P26" s="145"/>
      <c r="Q26" s="145"/>
      <c r="R26" s="145"/>
      <c r="S26" s="318"/>
      <c r="T26" s="318"/>
      <c r="U26" s="318"/>
      <c r="V26" s="318"/>
      <c r="W26" s="318"/>
      <c r="X26" s="318"/>
      <c r="Y26" s="318"/>
      <c r="Z26" s="318"/>
      <c r="AA26" s="318"/>
      <c r="AB26" s="318"/>
      <c r="AC26" s="476"/>
      <c r="AD26" s="476"/>
      <c r="AE26" s="476"/>
      <c r="AF26" s="476"/>
      <c r="AG26" s="476"/>
      <c r="AH26" s="476"/>
      <c r="AI26" s="477"/>
      <c r="AJ26" s="477"/>
      <c r="AK26" s="477"/>
      <c r="AL26" s="477"/>
      <c r="AM26" s="477"/>
      <c r="AN26" s="477"/>
      <c r="AO26" s="477"/>
      <c r="AP26" s="477"/>
      <c r="AQ26" s="477"/>
      <c r="AR26" s="477"/>
      <c r="AS26" s="477"/>
      <c r="AT26" s="477"/>
      <c r="AU26" s="477"/>
      <c r="AV26" s="476"/>
      <c r="AW26" s="477"/>
      <c r="AX26" s="477"/>
      <c r="AY26" s="477"/>
      <c r="AZ26" s="477"/>
      <c r="BA26" s="589"/>
      <c r="BB26" s="478"/>
      <c r="BC26" s="111"/>
      <c r="BD26" s="111"/>
      <c r="BE26" s="111"/>
      <c r="BF26" s="111"/>
      <c r="BG26" s="111"/>
      <c r="BH26" s="111"/>
      <c r="BI26" s="107"/>
      <c r="BJ26" s="529"/>
      <c r="BK26" s="323"/>
      <c r="BL26" s="325">
        <f>BL25+5</f>
        <v>115</v>
      </c>
      <c r="BM26" s="326">
        <f t="shared" si="3"/>
        <v>39.359384843888066</v>
      </c>
      <c r="BN26" s="326">
        <f t="shared" si="3"/>
        <v>35.976375066887847</v>
      </c>
      <c r="BO26" s="326">
        <f t="shared" si="3"/>
        <v>32.884141052686594</v>
      </c>
      <c r="BP26" s="326">
        <f t="shared" si="3"/>
        <v>30.057690102532391</v>
      </c>
      <c r="BQ26" s="326">
        <f t="shared" si="3"/>
        <v>27.474177684992672</v>
      </c>
      <c r="BR26" s="326">
        <f t="shared" si="3"/>
        <v>25.112722797117208</v>
      </c>
      <c r="BS26" s="326">
        <f t="shared" si="3"/>
        <v>22.954239195640493</v>
      </c>
      <c r="BT26" s="326">
        <f t="shared" si="3"/>
        <v>20.981281134165304</v>
      </c>
      <c r="BU26" s="326">
        <f t="shared" si="3"/>
        <v>19.177902359512192</v>
      </c>
      <c r="BV26" s="326">
        <f t="shared" si="3"/>
        <v>17.529527227585813</v>
      </c>
      <c r="BW26" s="326">
        <f t="shared" si="3"/>
        <v>16.022832897063957</v>
      </c>
      <c r="BX26" s="326">
        <f t="shared" si="3"/>
        <v>14.645641648750399</v>
      </c>
      <c r="BY26" s="326">
        <f t="shared" si="3"/>
        <v>13.386822460272716</v>
      </c>
      <c r="BZ26" s="326">
        <f t="shared" si="3"/>
        <v>12.236201040611475</v>
      </c>
      <c r="CA26" s="326">
        <f t="shared" si="3"/>
        <v>11.184477597323037</v>
      </c>
      <c r="CB26" s="327"/>
    </row>
    <row r="27" spans="1:80" ht="12.75" customHeight="1">
      <c r="A27" s="2886"/>
      <c r="B27" s="470"/>
      <c r="C27" s="470"/>
      <c r="D27" s="470"/>
      <c r="E27" s="522"/>
      <c r="F27" s="522"/>
      <c r="G27" s="523"/>
      <c r="H27" s="451"/>
      <c r="I27" s="451"/>
      <c r="J27" s="451"/>
      <c r="K27" s="451"/>
      <c r="L27" s="451"/>
      <c r="M27" s="451"/>
      <c r="N27" s="451"/>
      <c r="O27" s="451"/>
      <c r="P27" s="451"/>
      <c r="Q27" s="451"/>
      <c r="R27" s="145"/>
      <c r="S27" s="145"/>
      <c r="T27" s="145"/>
      <c r="U27" s="359"/>
      <c r="V27" s="145"/>
      <c r="W27" s="145"/>
      <c r="X27" s="145"/>
      <c r="Y27" s="145"/>
      <c r="Z27" s="145"/>
      <c r="AA27" s="492"/>
      <c r="AB27" s="492"/>
      <c r="AC27" s="518"/>
      <c r="AD27" s="3536"/>
      <c r="AE27" s="3536"/>
      <c r="AF27" s="3536"/>
      <c r="AG27" s="3536"/>
      <c r="AH27" s="3536"/>
      <c r="AI27" s="3536"/>
      <c r="AJ27" s="3536"/>
      <c r="AK27" s="3536"/>
      <c r="AL27" s="3536"/>
      <c r="AM27" s="3536"/>
      <c r="AN27" s="3536"/>
      <c r="AO27" s="3536"/>
      <c r="AP27" s="3536"/>
      <c r="AQ27" s="3536"/>
      <c r="AR27" s="3536"/>
      <c r="AS27" s="3536"/>
      <c r="AT27" s="3536"/>
      <c r="AU27" s="3536"/>
      <c r="AV27" s="3536"/>
      <c r="AW27" s="3536"/>
      <c r="AX27" s="3536"/>
      <c r="AY27" s="3536"/>
      <c r="AZ27" s="313"/>
      <c r="BA27" s="107"/>
      <c r="BB27" s="107"/>
      <c r="BC27" s="107"/>
      <c r="BD27" s="111"/>
      <c r="BE27" s="111"/>
      <c r="BF27" s="111"/>
      <c r="BG27" s="111"/>
      <c r="BH27" s="111"/>
      <c r="BI27" s="107"/>
      <c r="BJ27" s="529"/>
      <c r="BK27" s="323"/>
      <c r="BL27" s="339">
        <v>120</v>
      </c>
      <c r="BM27" s="326">
        <f t="shared" si="3"/>
        <v>39.431829334195591</v>
      </c>
      <c r="BN27" s="326">
        <f t="shared" si="3"/>
        <v>36.042592823216374</v>
      </c>
      <c r="BO27" s="326">
        <f t="shared" si="3"/>
        <v>32.944667273998526</v>
      </c>
      <c r="BP27" s="326">
        <f t="shared" si="3"/>
        <v>30.113013986478652</v>
      </c>
      <c r="BQ27" s="326">
        <f t="shared" si="3"/>
        <v>27.524746381807983</v>
      </c>
      <c r="BR27" s="326">
        <f t="shared" si="3"/>
        <v>25.158945023670977</v>
      </c>
      <c r="BS27" s="326">
        <f t="shared" si="3"/>
        <v>22.996488538853576</v>
      </c>
      <c r="BT27" s="326">
        <f t="shared" si="3"/>
        <v>21.019899070492109</v>
      </c>
      <c r="BU27" s="326">
        <f t="shared" si="3"/>
        <v>19.213201014892931</v>
      </c>
      <c r="BV27" s="326">
        <f t="shared" si="3"/>
        <v>17.561791900175876</v>
      </c>
      <c r="BW27" s="326">
        <f t="shared" si="3"/>
        <v>16.052324363130168</v>
      </c>
      <c r="BX27" s="326">
        <f t="shared" si="3"/>
        <v>14.672598270371356</v>
      </c>
      <c r="BY27" s="326">
        <f t="shared" si="3"/>
        <v>13.411462111878512</v>
      </c>
      <c r="BZ27" s="326">
        <f t="shared" si="3"/>
        <v>12.258722869933843</v>
      </c>
      <c r="CA27" s="326">
        <f t="shared" si="3"/>
        <v>11.20506363498871</v>
      </c>
      <c r="CB27" s="327"/>
    </row>
    <row r="28" spans="1:80" ht="15.75" customHeight="1">
      <c r="A28" s="2873"/>
      <c r="B28" s="4870" t="s">
        <v>328</v>
      </c>
      <c r="C28" s="4871"/>
      <c r="D28" s="4871"/>
      <c r="E28" s="4871"/>
      <c r="F28" s="4872"/>
      <c r="G28" s="4879"/>
      <c r="H28" s="4880"/>
      <c r="I28" s="4960" t="s">
        <v>67</v>
      </c>
      <c r="J28" s="4961"/>
      <c r="K28" s="4961"/>
      <c r="L28" s="4961"/>
      <c r="M28" s="4961"/>
      <c r="N28" s="4961"/>
      <c r="O28" s="4961"/>
      <c r="P28" s="4961"/>
      <c r="Q28" s="4961"/>
      <c r="R28" s="4961"/>
      <c r="S28" s="4961"/>
      <c r="T28" s="4962"/>
      <c r="U28" s="4963" t="s">
        <v>68</v>
      </c>
      <c r="V28" s="4964"/>
      <c r="W28" s="4964"/>
      <c r="X28" s="4964"/>
      <c r="Y28" s="4964"/>
      <c r="Z28" s="4965"/>
      <c r="AA28" s="106"/>
      <c r="AB28" s="106"/>
      <c r="AC28" s="476"/>
      <c r="AD28" s="476"/>
      <c r="AE28" s="476"/>
      <c r="AF28" s="476"/>
      <c r="AG28" s="476"/>
      <c r="AH28" s="476"/>
      <c r="AI28" s="477"/>
      <c r="AJ28" s="477"/>
      <c r="AK28" s="477"/>
      <c r="AL28" s="477"/>
      <c r="AM28" s="477"/>
      <c r="AN28" s="477"/>
      <c r="AO28" s="477"/>
      <c r="AP28" s="477"/>
      <c r="AQ28" s="477"/>
      <c r="AR28" s="477"/>
      <c r="AS28" s="477"/>
      <c r="AT28" s="477"/>
      <c r="AU28" s="477"/>
      <c r="AV28" s="476"/>
      <c r="AW28" s="477"/>
      <c r="AX28" s="477"/>
      <c r="AY28" s="477"/>
      <c r="AZ28" s="477"/>
      <c r="BA28" s="4823" t="s">
        <v>69</v>
      </c>
      <c r="BB28" s="4823"/>
      <c r="BC28" s="4824"/>
      <c r="BD28" s="873"/>
      <c r="BE28" s="873"/>
      <c r="BF28" s="873"/>
      <c r="BG28" s="873"/>
      <c r="BH28" s="873"/>
      <c r="BI28" s="873"/>
      <c r="BJ28" s="873"/>
      <c r="BK28" s="323"/>
      <c r="BL28" s="319">
        <v>120</v>
      </c>
      <c r="BM28" s="4776" t="s">
        <v>750</v>
      </c>
      <c r="BN28" s="4776"/>
      <c r="BO28" s="321"/>
      <c r="BP28" s="323"/>
      <c r="BQ28" s="323"/>
      <c r="BR28" s="323"/>
      <c r="BS28" s="323"/>
      <c r="BT28" s="323"/>
      <c r="BU28" s="323"/>
      <c r="BV28" s="323"/>
      <c r="BW28" s="323"/>
      <c r="BX28" s="323"/>
      <c r="BY28" s="323"/>
      <c r="BZ28" s="323"/>
      <c r="CA28" s="328"/>
      <c r="CB28" s="327"/>
    </row>
    <row r="29" spans="1:80" ht="15" customHeight="1">
      <c r="A29" s="2874"/>
      <c r="B29" s="4873"/>
      <c r="C29" s="4874"/>
      <c r="D29" s="4874"/>
      <c r="E29" s="4874"/>
      <c r="F29" s="4875"/>
      <c r="G29" s="4881"/>
      <c r="H29" s="4882"/>
      <c r="I29" s="4957" t="s">
        <v>329</v>
      </c>
      <c r="J29" s="4958"/>
      <c r="K29" s="4958"/>
      <c r="L29" s="4958"/>
      <c r="M29" s="4958"/>
      <c r="N29" s="4958"/>
      <c r="O29" s="4958"/>
      <c r="P29" s="4958"/>
      <c r="Q29" s="4958"/>
      <c r="R29" s="4958"/>
      <c r="S29" s="4958"/>
      <c r="T29" s="4959"/>
      <c r="U29" s="4531" t="s">
        <v>758</v>
      </c>
      <c r="V29" s="4749"/>
      <c r="W29" s="4749"/>
      <c r="X29" s="4749"/>
      <c r="Y29" s="4749"/>
      <c r="Z29" s="4750"/>
      <c r="AA29" s="106"/>
      <c r="AB29" s="106"/>
      <c r="AC29" s="518"/>
      <c r="AD29" s="3536"/>
      <c r="AE29" s="3536"/>
      <c r="AF29" s="3536"/>
      <c r="AG29" s="3536"/>
      <c r="AH29" s="3536"/>
      <c r="AI29" s="3536"/>
      <c r="AJ29" s="3536"/>
      <c r="AK29" s="3536"/>
      <c r="AL29" s="3536"/>
      <c r="AM29" s="3536"/>
      <c r="AN29" s="3536"/>
      <c r="AO29" s="3536"/>
      <c r="AP29" s="3536"/>
      <c r="AQ29" s="3536"/>
      <c r="AR29" s="3536"/>
      <c r="AS29" s="3536"/>
      <c r="AT29" s="3536"/>
      <c r="AU29" s="3536"/>
      <c r="AV29" s="3536"/>
      <c r="AW29" s="3536"/>
      <c r="AX29" s="3536"/>
      <c r="AY29" s="3536"/>
      <c r="AZ29" s="313"/>
      <c r="BA29" s="2861" t="s">
        <v>339</v>
      </c>
      <c r="BB29" s="3245" t="s">
        <v>340</v>
      </c>
      <c r="BC29" s="2862" t="s">
        <v>79</v>
      </c>
      <c r="BD29" s="3358"/>
      <c r="BE29" s="2862" t="s">
        <v>340</v>
      </c>
      <c r="BF29" s="3252" t="s">
        <v>339</v>
      </c>
      <c r="BG29" s="3253" t="s">
        <v>79</v>
      </c>
      <c r="BH29" s="873"/>
      <c r="BI29" s="873"/>
      <c r="BJ29" s="873"/>
      <c r="BK29" s="323"/>
      <c r="BL29" s="4778" t="s">
        <v>1885</v>
      </c>
      <c r="BM29" s="4778"/>
      <c r="BN29" s="4778"/>
      <c r="BO29" s="4778"/>
      <c r="BP29" s="4778"/>
      <c r="BQ29" s="4778"/>
      <c r="BR29" s="4778"/>
      <c r="BS29" s="4778"/>
      <c r="BT29" s="4778"/>
      <c r="BU29" s="4778"/>
      <c r="BV29" s="4778"/>
      <c r="BW29" s="4778"/>
      <c r="BX29" s="4778"/>
      <c r="BY29" s="4778"/>
      <c r="BZ29" s="4778"/>
      <c r="CA29" s="4778"/>
      <c r="CB29" s="327"/>
    </row>
    <row r="30" spans="1:80" ht="15" customHeight="1">
      <c r="A30" s="2874"/>
      <c r="B30" s="4876"/>
      <c r="C30" s="4877"/>
      <c r="D30" s="4877"/>
      <c r="E30" s="4877"/>
      <c r="F30" s="4878"/>
      <c r="G30" s="4883"/>
      <c r="H30" s="4884"/>
      <c r="I30" s="4534" t="s">
        <v>81</v>
      </c>
      <c r="J30" s="4712"/>
      <c r="K30" s="4712"/>
      <c r="L30" s="4712"/>
      <c r="M30" s="4712"/>
      <c r="N30" s="4713"/>
      <c r="O30" s="4535" t="s">
        <v>82</v>
      </c>
      <c r="P30" s="4714"/>
      <c r="Q30" s="4714"/>
      <c r="R30" s="4714"/>
      <c r="S30" s="4714"/>
      <c r="T30" s="4715"/>
      <c r="U30" s="4751"/>
      <c r="V30" s="4752"/>
      <c r="W30" s="4752"/>
      <c r="X30" s="4752"/>
      <c r="Y30" s="4752"/>
      <c r="Z30" s="4753"/>
      <c r="AA30" s="106"/>
      <c r="AB30" s="106"/>
      <c r="AC30" s="4708" t="s">
        <v>91</v>
      </c>
      <c r="AD30" s="4708"/>
      <c r="AE30" s="3523"/>
      <c r="AF30" s="524"/>
      <c r="AG30" s="524"/>
      <c r="AH30" s="524"/>
      <c r="AI30" s="148" t="s">
        <v>90</v>
      </c>
      <c r="AJ30" s="3495"/>
      <c r="AK30" s="3495"/>
      <c r="AL30" s="3495"/>
      <c r="AM30" s="3495"/>
      <c r="AN30" s="3495"/>
      <c r="AO30" s="149"/>
      <c r="AP30" s="3495"/>
      <c r="AQ30" s="3495"/>
      <c r="AR30" s="3495"/>
      <c r="AS30" s="3495"/>
      <c r="AT30" s="3495"/>
      <c r="AU30" s="3495"/>
      <c r="AV30" s="3495"/>
      <c r="AW30" s="3495"/>
      <c r="AX30" s="3495"/>
      <c r="AY30" s="3495"/>
      <c r="AZ30" s="313"/>
      <c r="BA30" s="588">
        <v>1</v>
      </c>
      <c r="BB30" s="3246">
        <f t="shared" ref="BB30:BB35" si="5">BA30*(6/5)</f>
        <v>1.2</v>
      </c>
      <c r="BC30" s="3250">
        <f t="shared" ref="BC30:BC35" si="6">3.7854*BB30/8</f>
        <v>0.56781000000000004</v>
      </c>
      <c r="BD30" s="3358"/>
      <c r="BE30" s="2663">
        <v>1</v>
      </c>
      <c r="BF30" s="3254">
        <f t="shared" ref="BF30:BF35" si="7">BE30*(5/6)</f>
        <v>0.83333333333333337</v>
      </c>
      <c r="BG30" s="2662">
        <f t="shared" ref="BG30:BG35" si="8">3.7854*BE30/8</f>
        <v>0.47317500000000001</v>
      </c>
      <c r="BH30" s="873"/>
      <c r="BI30" s="873"/>
      <c r="BJ30" s="873"/>
      <c r="BK30" s="324"/>
      <c r="BL30" s="324"/>
      <c r="BM30" s="324"/>
      <c r="BN30" s="330"/>
      <c r="BO30" s="330"/>
      <c r="BP30" s="331"/>
      <c r="BQ30" s="330"/>
      <c r="BR30" s="330"/>
      <c r="BS30" s="330"/>
      <c r="BT30" s="330"/>
      <c r="BU30" s="330"/>
      <c r="BV30" s="330"/>
      <c r="BW30" s="332"/>
      <c r="BX30" s="324"/>
      <c r="BY30" s="324"/>
      <c r="BZ30" s="324"/>
      <c r="CA30" s="324"/>
      <c r="CB30" s="324"/>
    </row>
    <row r="31" spans="1:80" ht="15" customHeight="1">
      <c r="A31" s="2875"/>
      <c r="B31" s="525" t="s">
        <v>330</v>
      </c>
      <c r="C31" s="2350" t="s">
        <v>331</v>
      </c>
      <c r="D31" s="314" t="s">
        <v>73</v>
      </c>
      <c r="E31" s="2351" t="s">
        <v>74</v>
      </c>
      <c r="F31" s="2352" t="s">
        <v>75</v>
      </c>
      <c r="G31" s="150" t="s">
        <v>84</v>
      </c>
      <c r="H31" s="2437" t="s">
        <v>85</v>
      </c>
      <c r="I31" s="2981" t="s">
        <v>86</v>
      </c>
      <c r="J31" s="2982" t="s">
        <v>87</v>
      </c>
      <c r="K31" s="2982" t="s">
        <v>88</v>
      </c>
      <c r="L31" s="2982" t="s">
        <v>89</v>
      </c>
      <c r="M31" s="2982" t="s">
        <v>94</v>
      </c>
      <c r="N31" s="2983" t="s">
        <v>648</v>
      </c>
      <c r="O31" s="2984" t="s">
        <v>86</v>
      </c>
      <c r="P31" s="3282" t="s">
        <v>87</v>
      </c>
      <c r="Q31" s="2982" t="s">
        <v>88</v>
      </c>
      <c r="R31" s="2982" t="s">
        <v>89</v>
      </c>
      <c r="S31" s="3283" t="s">
        <v>94</v>
      </c>
      <c r="T31" s="3281" t="s">
        <v>648</v>
      </c>
      <c r="U31" s="2985" t="s">
        <v>86</v>
      </c>
      <c r="V31" s="2982" t="s">
        <v>87</v>
      </c>
      <c r="W31" s="2982" t="s">
        <v>88</v>
      </c>
      <c r="X31" s="2982" t="s">
        <v>89</v>
      </c>
      <c r="Y31" s="2982" t="s">
        <v>94</v>
      </c>
      <c r="Z31" s="2983" t="s">
        <v>648</v>
      </c>
      <c r="AA31" s="106"/>
      <c r="AB31" s="106"/>
      <c r="AC31" s="526" t="s">
        <v>86</v>
      </c>
      <c r="AD31" s="526" t="s">
        <v>87</v>
      </c>
      <c r="AE31" s="526" t="s">
        <v>88</v>
      </c>
      <c r="AF31" s="526" t="s">
        <v>89</v>
      </c>
      <c r="AG31" s="526" t="s">
        <v>94</v>
      </c>
      <c r="AH31" s="526" t="s">
        <v>332</v>
      </c>
      <c r="AI31" s="151" t="s">
        <v>86</v>
      </c>
      <c r="AJ31" s="526" t="s">
        <v>87</v>
      </c>
      <c r="AK31" s="594" t="s">
        <v>88</v>
      </c>
      <c r="AL31" s="594" t="s">
        <v>89</v>
      </c>
      <c r="AM31" s="594" t="s">
        <v>94</v>
      </c>
      <c r="AN31" s="596" t="s">
        <v>332</v>
      </c>
      <c r="AO31" s="592" t="s">
        <v>86</v>
      </c>
      <c r="AP31" s="594" t="s">
        <v>88</v>
      </c>
      <c r="AQ31" s="594" t="s">
        <v>89</v>
      </c>
      <c r="AR31" s="526" t="s">
        <v>89</v>
      </c>
      <c r="AS31" s="526" t="s">
        <v>94</v>
      </c>
      <c r="AT31" s="526" t="s">
        <v>332</v>
      </c>
      <c r="AU31" s="440" t="s">
        <v>333</v>
      </c>
      <c r="AV31" s="358" t="s">
        <v>334</v>
      </c>
      <c r="AW31" s="3495" t="s">
        <v>335</v>
      </c>
      <c r="AX31" s="527" t="s">
        <v>44</v>
      </c>
      <c r="AY31" s="358" t="s">
        <v>336</v>
      </c>
      <c r="AZ31" s="358" t="s">
        <v>335</v>
      </c>
      <c r="BA31" s="588">
        <v>2</v>
      </c>
      <c r="BB31" s="3246">
        <f t="shared" si="5"/>
        <v>2.4</v>
      </c>
      <c r="BC31" s="3250">
        <f t="shared" si="6"/>
        <v>1.1356200000000001</v>
      </c>
      <c r="BD31" s="3358"/>
      <c r="BE31" s="2663">
        <v>2</v>
      </c>
      <c r="BF31" s="3254">
        <f t="shared" si="7"/>
        <v>1.6666666666666667</v>
      </c>
      <c r="BG31" s="2662">
        <f t="shared" si="8"/>
        <v>0.94635000000000002</v>
      </c>
      <c r="BH31" s="873"/>
      <c r="BI31" s="873"/>
      <c r="BJ31" s="873"/>
      <c r="BK31" s="329"/>
      <c r="BL31" s="333"/>
      <c r="BM31" s="329"/>
      <c r="BN31" s="334"/>
      <c r="BO31" s="334"/>
      <c r="BP31" s="335"/>
      <c r="BQ31" s="333"/>
      <c r="BR31" s="333"/>
      <c r="BS31" s="333"/>
      <c r="BT31" s="333"/>
      <c r="BU31" s="333"/>
      <c r="BV31" s="333"/>
      <c r="BW31" s="333"/>
      <c r="BX31" s="329"/>
      <c r="BY31" s="329"/>
      <c r="BZ31" s="329"/>
      <c r="CA31" s="336"/>
      <c r="CB31" s="337"/>
    </row>
    <row r="32" spans="1:80" ht="15" customHeight="1">
      <c r="A32" s="4892" t="s">
        <v>337</v>
      </c>
      <c r="B32" s="2747" t="str">
        <f>'Beer Data Sheet'!B57</f>
        <v>Pale malt</v>
      </c>
      <c r="C32" s="2353">
        <v>490</v>
      </c>
      <c r="D32" s="152" t="s">
        <v>40</v>
      </c>
      <c r="E32" s="2149">
        <f>100*IF(C32=0,0,C32/$E$69)</f>
        <v>47.347569813508549</v>
      </c>
      <c r="F32" s="2357">
        <f t="shared" ref="F32:F62" si="9">IF(AX32=0,0,AX32*100/$F$69)</f>
        <v>45.16822860654478</v>
      </c>
      <c r="G32" s="1803"/>
      <c r="H32" s="2438" t="s">
        <v>93</v>
      </c>
      <c r="I32" s="2358" t="s">
        <v>76</v>
      </c>
      <c r="J32" s="2359" t="s">
        <v>76</v>
      </c>
      <c r="K32" s="2359" t="s">
        <v>76</v>
      </c>
      <c r="L32" s="2359" t="s">
        <v>76</v>
      </c>
      <c r="M32" s="2359" t="s">
        <v>76</v>
      </c>
      <c r="N32" s="2360" t="s">
        <v>76</v>
      </c>
      <c r="O32" s="2361" t="s">
        <v>76</v>
      </c>
      <c r="P32" s="2359" t="s">
        <v>76</v>
      </c>
      <c r="Q32" s="2359" t="s">
        <v>76</v>
      </c>
      <c r="R32" s="2359" t="s">
        <v>76</v>
      </c>
      <c r="S32" s="2359" t="s">
        <v>76</v>
      </c>
      <c r="T32" s="2360" t="s">
        <v>76</v>
      </c>
      <c r="U32" s="2362" t="s">
        <v>76</v>
      </c>
      <c r="V32" s="2359" t="s">
        <v>76</v>
      </c>
      <c r="W32" s="2359" t="s">
        <v>76</v>
      </c>
      <c r="X32" s="2359" t="s">
        <v>76</v>
      </c>
      <c r="Y32" s="2359" t="s">
        <v>76</v>
      </c>
      <c r="Z32" s="2360" t="s">
        <v>76</v>
      </c>
      <c r="AA32" s="106"/>
      <c r="AB32" s="106"/>
      <c r="AC32" s="358" t="s">
        <v>116</v>
      </c>
      <c r="AD32" s="358" t="s">
        <v>116</v>
      </c>
      <c r="AE32" s="358" t="s">
        <v>116</v>
      </c>
      <c r="AF32" s="358" t="s">
        <v>116</v>
      </c>
      <c r="AG32" s="358" t="s">
        <v>116</v>
      </c>
      <c r="AH32" s="358" t="s">
        <v>116</v>
      </c>
      <c r="AI32" s="440" t="s">
        <v>116</v>
      </c>
      <c r="AJ32" s="358" t="s">
        <v>116</v>
      </c>
      <c r="AK32" s="595" t="s">
        <v>116</v>
      </c>
      <c r="AL32" s="595" t="s">
        <v>116</v>
      </c>
      <c r="AM32" s="595" t="s">
        <v>116</v>
      </c>
      <c r="AN32" s="597" t="s">
        <v>116</v>
      </c>
      <c r="AO32" s="593" t="s">
        <v>116</v>
      </c>
      <c r="AP32" s="595" t="s">
        <v>116</v>
      </c>
      <c r="AQ32" s="595" t="s">
        <v>116</v>
      </c>
      <c r="AR32" s="358" t="s">
        <v>116</v>
      </c>
      <c r="AS32" s="358" t="s">
        <v>116</v>
      </c>
      <c r="AT32" s="358" t="s">
        <v>116</v>
      </c>
      <c r="AU32" s="153">
        <f>'Beer Data Sheet'!C57*$C$7/100</f>
        <v>225</v>
      </c>
      <c r="AV32" s="415">
        <f t="shared" ref="AV32:AV57" si="10">C$72/100</f>
        <v>0.75</v>
      </c>
      <c r="AW32" s="527">
        <f>'Beer Data Sheet'!G57</f>
        <v>4.0999999999999996</v>
      </c>
      <c r="AX32" s="527">
        <f t="shared" ref="AX32:AX62" si="11">0.001*AU32*C32</f>
        <v>110.25</v>
      </c>
      <c r="AY32" s="441">
        <f t="shared" ref="AY32:AY44" si="12">AX32*$AV32</f>
        <v>82.6875</v>
      </c>
      <c r="AZ32" s="358">
        <f t="shared" ref="AZ32:AZ62" si="13">0.01*AW32*C32</f>
        <v>20.089999999999996</v>
      </c>
      <c r="BA32" s="588">
        <v>3</v>
      </c>
      <c r="BB32" s="3246">
        <f t="shared" si="5"/>
        <v>3.5999999999999996</v>
      </c>
      <c r="BC32" s="3250">
        <f t="shared" si="6"/>
        <v>1.7034299999999998</v>
      </c>
      <c r="BD32" s="3358"/>
      <c r="BE32" s="2663">
        <v>3</v>
      </c>
      <c r="BF32" s="3254">
        <f t="shared" si="7"/>
        <v>2.5</v>
      </c>
      <c r="BG32" s="2662">
        <f t="shared" si="8"/>
        <v>1.4195250000000001</v>
      </c>
      <c r="BH32" s="873"/>
      <c r="BI32" s="873"/>
      <c r="BJ32" s="873"/>
      <c r="BK32" s="329"/>
      <c r="BL32" s="329"/>
      <c r="BM32" s="329"/>
      <c r="BN32" s="329"/>
      <c r="BO32" s="329"/>
      <c r="BP32" s="329"/>
      <c r="BQ32" s="329"/>
      <c r="BR32" s="329"/>
      <c r="BS32" s="329"/>
      <c r="BT32" s="329"/>
      <c r="BU32" s="329"/>
      <c r="BV32" s="329"/>
      <c r="BW32" s="329"/>
      <c r="BX32" s="329"/>
      <c r="BY32" s="329"/>
      <c r="BZ32" s="329"/>
      <c r="CA32" s="329"/>
      <c r="CB32" s="329"/>
    </row>
    <row r="33" spans="1:80" ht="15" customHeight="1">
      <c r="A33" s="4893"/>
      <c r="B33" s="2748" t="str">
        <f>'Beer Data Sheet'!B58</f>
        <v>Mild Ale malt</v>
      </c>
      <c r="C33" s="2354"/>
      <c r="D33" s="528" t="s">
        <v>40</v>
      </c>
      <c r="E33" s="2149">
        <f>100*IF(C33=0,0,C33/$E$69)</f>
        <v>0</v>
      </c>
      <c r="F33" s="2144">
        <f t="shared" si="9"/>
        <v>0</v>
      </c>
      <c r="G33" s="2684" t="str">
        <f>'Beer Data Sheet'!B8</f>
        <v>Admiral</v>
      </c>
      <c r="H33" s="2685">
        <f>'Beer Data Sheet'!C8</f>
        <v>11</v>
      </c>
      <c r="I33" s="2363"/>
      <c r="J33" s="2364"/>
      <c r="K33" s="2364"/>
      <c r="L33" s="2364"/>
      <c r="M33" s="2364"/>
      <c r="N33" s="2365"/>
      <c r="O33" s="2986">
        <f t="shared" ref="O33:T35" si="14">I33</f>
        <v>0</v>
      </c>
      <c r="P33" s="2128">
        <f t="shared" si="14"/>
        <v>0</v>
      </c>
      <c r="Q33" s="2128">
        <f t="shared" si="14"/>
        <v>0</v>
      </c>
      <c r="R33" s="2128">
        <f t="shared" si="14"/>
        <v>0</v>
      </c>
      <c r="S33" s="2128">
        <f t="shared" si="14"/>
        <v>0</v>
      </c>
      <c r="T33" s="2366">
        <f t="shared" si="14"/>
        <v>0</v>
      </c>
      <c r="U33" s="2367"/>
      <c r="V33" s="2364"/>
      <c r="W33" s="2364"/>
      <c r="X33" s="2364"/>
      <c r="Y33" s="2364"/>
      <c r="Z33" s="2365"/>
      <c r="AA33" s="2979" t="str">
        <f>G33</f>
        <v>Admiral</v>
      </c>
      <c r="AB33" s="1865"/>
      <c r="AC33" s="358">
        <f t="shared" ref="AC33:AC44" si="15">$H33*I33</f>
        <v>0</v>
      </c>
      <c r="AD33" s="358">
        <f t="shared" ref="AD33:AD44" si="16">$H33*J33</f>
        <v>0</v>
      </c>
      <c r="AE33" s="358">
        <f t="shared" ref="AE33:AE44" si="17">$H33*K33</f>
        <v>0</v>
      </c>
      <c r="AF33" s="358">
        <f t="shared" ref="AF33:AF44" si="18">$H33*L33</f>
        <v>0</v>
      </c>
      <c r="AG33" s="358">
        <f t="shared" ref="AG33:AG44" si="19">$H33*M33</f>
        <v>0</v>
      </c>
      <c r="AH33" s="358">
        <f t="shared" ref="AH33:AH44" si="20">$H33*N33</f>
        <v>0</v>
      </c>
      <c r="AI33" s="440">
        <f t="shared" ref="AI33:AI44" si="21">$H33*O33</f>
        <v>0</v>
      </c>
      <c r="AJ33" s="358">
        <f t="shared" ref="AJ33:AJ44" si="22">$H33*P33</f>
        <v>0</v>
      </c>
      <c r="AK33" s="595">
        <f t="shared" ref="AK33:AK44" si="23">$H33*Q33</f>
        <v>0</v>
      </c>
      <c r="AL33" s="595">
        <f t="shared" ref="AL33:AL44" si="24">$H33*R33</f>
        <v>0</v>
      </c>
      <c r="AM33" s="595">
        <f t="shared" ref="AM33:AM44" si="25">$H33*S33</f>
        <v>0</v>
      </c>
      <c r="AN33" s="597">
        <f t="shared" ref="AN33:AN44" si="26">$H33*T33</f>
        <v>0</v>
      </c>
      <c r="AO33" s="593">
        <f t="shared" ref="AO33:AO44" si="27">$H33*U33</f>
        <v>0</v>
      </c>
      <c r="AP33" s="598">
        <f t="shared" ref="AP33:AP44" si="28">$H33*V33</f>
        <v>0</v>
      </c>
      <c r="AQ33" s="593">
        <f t="shared" ref="AQ33:AQ44" si="29">$H33*W33</f>
        <v>0</v>
      </c>
      <c r="AR33" s="358">
        <f t="shared" ref="AR33:AR44" si="30">$H33*X33</f>
        <v>0</v>
      </c>
      <c r="AS33" s="358">
        <f t="shared" ref="AS33:AS44" si="31">$H33*Y33</f>
        <v>0</v>
      </c>
      <c r="AT33" s="358">
        <f t="shared" ref="AT33:AT44" si="32">$H33*Z33</f>
        <v>0</v>
      </c>
      <c r="AU33" s="153">
        <f>'Beer Data Sheet'!C58*$C$7/100</f>
        <v>221.25</v>
      </c>
      <c r="AV33" s="415">
        <f t="shared" si="10"/>
        <v>0.75</v>
      </c>
      <c r="AW33" s="527">
        <f>'Beer Data Sheet'!G58</f>
        <v>4.97</v>
      </c>
      <c r="AX33" s="527">
        <f t="shared" si="11"/>
        <v>0</v>
      </c>
      <c r="AY33" s="441">
        <f t="shared" si="12"/>
        <v>0</v>
      </c>
      <c r="AZ33" s="358">
        <f t="shared" si="13"/>
        <v>0</v>
      </c>
      <c r="BA33" s="588">
        <v>4</v>
      </c>
      <c r="BB33" s="3246">
        <f t="shared" si="5"/>
        <v>4.8</v>
      </c>
      <c r="BC33" s="3250">
        <f t="shared" si="6"/>
        <v>2.2712400000000001</v>
      </c>
      <c r="BD33" s="3358"/>
      <c r="BE33" s="2663">
        <v>4</v>
      </c>
      <c r="BF33" s="3254">
        <f t="shared" si="7"/>
        <v>3.3333333333333335</v>
      </c>
      <c r="BG33" s="2662">
        <f t="shared" si="8"/>
        <v>1.8927</v>
      </c>
      <c r="BH33" s="873"/>
      <c r="BI33" s="873"/>
      <c r="BJ33" s="873"/>
      <c r="BK33" s="329"/>
      <c r="BL33" s="333"/>
      <c r="BM33" s="329"/>
      <c r="BN33" s="334"/>
      <c r="BO33" s="334"/>
      <c r="BP33" s="335"/>
      <c r="BQ33" s="334"/>
      <c r="BR33" s="334"/>
      <c r="BS33" s="334"/>
      <c r="BT33" s="334"/>
      <c r="BU33" s="334"/>
      <c r="BV33" s="334"/>
      <c r="BW33" s="333"/>
      <c r="BX33" s="329"/>
      <c r="BY33" s="329"/>
      <c r="BZ33" s="329"/>
      <c r="CA33" s="338"/>
      <c r="CB33" s="337"/>
    </row>
    <row r="34" spans="1:80" ht="15" customHeight="1">
      <c r="A34" s="4893"/>
      <c r="B34" s="2748" t="str">
        <f>'Beer Data Sheet'!B59</f>
        <v>Lager malt (Pilsner)</v>
      </c>
      <c r="C34" s="2354"/>
      <c r="D34" s="528" t="s">
        <v>40</v>
      </c>
      <c r="E34" s="2149">
        <f>100*IF(C34=0,0,C34/$E$69)</f>
        <v>0</v>
      </c>
      <c r="F34" s="2144">
        <f t="shared" si="9"/>
        <v>0</v>
      </c>
      <c r="G34" s="2686" t="str">
        <f>'Beer Data Sheet'!B9</f>
        <v>Boadicea</v>
      </c>
      <c r="H34" s="2687">
        <f>'Beer Data Sheet'!C9</f>
        <v>9.5</v>
      </c>
      <c r="I34" s="2987"/>
      <c r="J34" s="2368"/>
      <c r="K34" s="2368"/>
      <c r="L34" s="2368"/>
      <c r="M34" s="2368"/>
      <c r="N34" s="2369"/>
      <c r="O34" s="2986">
        <f t="shared" si="14"/>
        <v>0</v>
      </c>
      <c r="P34" s="2128">
        <f t="shared" si="14"/>
        <v>0</v>
      </c>
      <c r="Q34" s="2128">
        <f t="shared" si="14"/>
        <v>0</v>
      </c>
      <c r="R34" s="2128">
        <f t="shared" si="14"/>
        <v>0</v>
      </c>
      <c r="S34" s="2128">
        <f t="shared" si="14"/>
        <v>0</v>
      </c>
      <c r="T34" s="2366">
        <f t="shared" si="14"/>
        <v>0</v>
      </c>
      <c r="U34" s="2988"/>
      <c r="V34" s="2368"/>
      <c r="W34" s="2368"/>
      <c r="X34" s="2368"/>
      <c r="Y34" s="2368"/>
      <c r="Z34" s="2369"/>
      <c r="AA34" s="2979" t="str">
        <f t="shared" ref="AA34:AA63" si="33">G34</f>
        <v>Boadicea</v>
      </c>
      <c r="AB34" s="1865"/>
      <c r="AC34" s="358">
        <f t="shared" si="15"/>
        <v>0</v>
      </c>
      <c r="AD34" s="358">
        <f t="shared" si="16"/>
        <v>0</v>
      </c>
      <c r="AE34" s="358">
        <f t="shared" si="17"/>
        <v>0</v>
      </c>
      <c r="AF34" s="358">
        <f t="shared" si="18"/>
        <v>0</v>
      </c>
      <c r="AG34" s="358">
        <f t="shared" si="19"/>
        <v>0</v>
      </c>
      <c r="AH34" s="358">
        <f t="shared" si="20"/>
        <v>0</v>
      </c>
      <c r="AI34" s="440">
        <f t="shared" si="21"/>
        <v>0</v>
      </c>
      <c r="AJ34" s="358">
        <f t="shared" si="22"/>
        <v>0</v>
      </c>
      <c r="AK34" s="595">
        <f t="shared" si="23"/>
        <v>0</v>
      </c>
      <c r="AL34" s="595">
        <f t="shared" si="24"/>
        <v>0</v>
      </c>
      <c r="AM34" s="595">
        <f t="shared" si="25"/>
        <v>0</v>
      </c>
      <c r="AN34" s="597">
        <f t="shared" si="26"/>
        <v>0</v>
      </c>
      <c r="AO34" s="440">
        <f t="shared" si="27"/>
        <v>0</v>
      </c>
      <c r="AP34" s="598">
        <f t="shared" si="28"/>
        <v>0</v>
      </c>
      <c r="AQ34" s="593">
        <f t="shared" si="29"/>
        <v>0</v>
      </c>
      <c r="AR34" s="358">
        <f t="shared" si="30"/>
        <v>0</v>
      </c>
      <c r="AS34" s="358">
        <f t="shared" si="31"/>
        <v>0</v>
      </c>
      <c r="AT34" s="358">
        <f t="shared" si="32"/>
        <v>0</v>
      </c>
      <c r="AU34" s="153">
        <f>'Beer Data Sheet'!C59*$C$7/100</f>
        <v>225</v>
      </c>
      <c r="AV34" s="415">
        <f t="shared" si="10"/>
        <v>0.75</v>
      </c>
      <c r="AW34" s="527">
        <f>'Beer Data Sheet'!G59</f>
        <v>2.2000000000000002</v>
      </c>
      <c r="AX34" s="527">
        <f t="shared" si="11"/>
        <v>0</v>
      </c>
      <c r="AY34" s="441">
        <f t="shared" si="12"/>
        <v>0</v>
      </c>
      <c r="AZ34" s="358">
        <f t="shared" si="13"/>
        <v>0</v>
      </c>
      <c r="BA34" s="588">
        <v>5</v>
      </c>
      <c r="BB34" s="3246">
        <f t="shared" si="5"/>
        <v>6</v>
      </c>
      <c r="BC34" s="3250">
        <f t="shared" si="6"/>
        <v>2.8390500000000003</v>
      </c>
      <c r="BD34" s="3358"/>
      <c r="BE34" s="2663">
        <v>5</v>
      </c>
      <c r="BF34" s="3254">
        <f t="shared" si="7"/>
        <v>4.166666666666667</v>
      </c>
      <c r="BG34" s="2662">
        <f t="shared" si="8"/>
        <v>2.365875</v>
      </c>
      <c r="BH34" s="873"/>
      <c r="BI34" s="873"/>
      <c r="BJ34" s="873"/>
      <c r="BK34" s="329"/>
      <c r="BL34" s="329"/>
      <c r="BM34" s="329"/>
      <c r="BN34" s="329"/>
      <c r="BO34" s="329"/>
      <c r="BP34" s="329"/>
      <c r="BQ34" s="329"/>
      <c r="BR34" s="329"/>
      <c r="BS34" s="329"/>
      <c r="BT34" s="329"/>
      <c r="BU34" s="329"/>
      <c r="BV34" s="329"/>
      <c r="BW34" s="329"/>
      <c r="BX34" s="329"/>
      <c r="BY34" s="329"/>
      <c r="BZ34" s="329"/>
      <c r="CA34" s="329"/>
      <c r="CB34" s="329"/>
    </row>
    <row r="35" spans="1:80" ht="15" customHeight="1">
      <c r="A35" s="4893"/>
      <c r="B35" s="2748" t="str">
        <f>'Beer Data Sheet'!B60</f>
        <v>Munich malt</v>
      </c>
      <c r="C35" s="2354"/>
      <c r="D35" s="528" t="s">
        <v>40</v>
      </c>
      <c r="E35" s="2149">
        <f>100*IF(C35=0,0,C35/$E$69)</f>
        <v>0</v>
      </c>
      <c r="F35" s="2144">
        <f t="shared" si="9"/>
        <v>0</v>
      </c>
      <c r="G35" s="2686" t="str">
        <f>'Beer Data Sheet'!B10</f>
        <v>Bramling Cross</v>
      </c>
      <c r="H35" s="2687">
        <f>'Beer Data Sheet'!C10</f>
        <v>5.0999999999999996</v>
      </c>
      <c r="I35" s="2987"/>
      <c r="J35" s="2368"/>
      <c r="K35" s="2368"/>
      <c r="L35" s="2368"/>
      <c r="M35" s="2368"/>
      <c r="N35" s="2369"/>
      <c r="O35" s="2986">
        <f t="shared" si="14"/>
        <v>0</v>
      </c>
      <c r="P35" s="2128">
        <f t="shared" si="14"/>
        <v>0</v>
      </c>
      <c r="Q35" s="2128">
        <f t="shared" si="14"/>
        <v>0</v>
      </c>
      <c r="R35" s="2128">
        <f t="shared" si="14"/>
        <v>0</v>
      </c>
      <c r="S35" s="2128">
        <f t="shared" si="14"/>
        <v>0</v>
      </c>
      <c r="T35" s="2366">
        <f t="shared" si="14"/>
        <v>0</v>
      </c>
      <c r="U35" s="2988"/>
      <c r="V35" s="2368"/>
      <c r="W35" s="2368"/>
      <c r="X35" s="2368"/>
      <c r="Y35" s="2368"/>
      <c r="Z35" s="2369"/>
      <c r="AA35" s="2979" t="str">
        <f t="shared" si="33"/>
        <v>Bramling Cross</v>
      </c>
      <c r="AB35" s="1865"/>
      <c r="AC35" s="358">
        <f t="shared" si="15"/>
        <v>0</v>
      </c>
      <c r="AD35" s="358">
        <f t="shared" si="16"/>
        <v>0</v>
      </c>
      <c r="AE35" s="358">
        <f t="shared" si="17"/>
        <v>0</v>
      </c>
      <c r="AF35" s="358">
        <f t="shared" si="18"/>
        <v>0</v>
      </c>
      <c r="AG35" s="358">
        <f t="shared" si="19"/>
        <v>0</v>
      </c>
      <c r="AH35" s="358">
        <f t="shared" si="20"/>
        <v>0</v>
      </c>
      <c r="AI35" s="440">
        <f t="shared" si="21"/>
        <v>0</v>
      </c>
      <c r="AJ35" s="358">
        <f t="shared" si="22"/>
        <v>0</v>
      </c>
      <c r="AK35" s="595">
        <f t="shared" si="23"/>
        <v>0</v>
      </c>
      <c r="AL35" s="595">
        <f t="shared" si="24"/>
        <v>0</v>
      </c>
      <c r="AM35" s="595">
        <f t="shared" si="25"/>
        <v>0</v>
      </c>
      <c r="AN35" s="597">
        <f t="shared" si="26"/>
        <v>0</v>
      </c>
      <c r="AO35" s="440">
        <f t="shared" si="27"/>
        <v>0</v>
      </c>
      <c r="AP35" s="598">
        <f t="shared" si="28"/>
        <v>0</v>
      </c>
      <c r="AQ35" s="593">
        <f t="shared" si="29"/>
        <v>0</v>
      </c>
      <c r="AR35" s="358">
        <f t="shared" si="30"/>
        <v>0</v>
      </c>
      <c r="AS35" s="358">
        <f t="shared" si="31"/>
        <v>0</v>
      </c>
      <c r="AT35" s="358">
        <f t="shared" si="32"/>
        <v>0</v>
      </c>
      <c r="AU35" s="153">
        <f>'Beer Data Sheet'!C60*$C$7/100</f>
        <v>221.25</v>
      </c>
      <c r="AV35" s="415">
        <f t="shared" si="10"/>
        <v>0.75</v>
      </c>
      <c r="AW35" s="527">
        <f>'Beer Data Sheet'!G60</f>
        <v>12.15</v>
      </c>
      <c r="AX35" s="527">
        <f t="shared" si="11"/>
        <v>0</v>
      </c>
      <c r="AY35" s="441">
        <f t="shared" si="12"/>
        <v>0</v>
      </c>
      <c r="AZ35" s="358">
        <f t="shared" si="13"/>
        <v>0</v>
      </c>
      <c r="BA35" s="588">
        <v>25</v>
      </c>
      <c r="BB35" s="3246">
        <f t="shared" si="5"/>
        <v>30</v>
      </c>
      <c r="BC35" s="3250">
        <f t="shared" si="6"/>
        <v>14.19525</v>
      </c>
      <c r="BD35" s="3358"/>
      <c r="BE35" s="2663">
        <v>6</v>
      </c>
      <c r="BF35" s="3254">
        <f t="shared" si="7"/>
        <v>5</v>
      </c>
      <c r="BG35" s="2662">
        <f t="shared" si="8"/>
        <v>2.8390500000000003</v>
      </c>
      <c r="BH35" s="873"/>
      <c r="BI35" s="873"/>
      <c r="BJ35" s="873"/>
      <c r="BK35" s="329"/>
      <c r="BL35" s="329"/>
      <c r="BM35" s="329"/>
      <c r="BN35" s="329"/>
      <c r="BO35" s="329"/>
      <c r="BP35" s="329"/>
      <c r="BQ35" s="329"/>
      <c r="BR35" s="329"/>
      <c r="BS35" s="329"/>
      <c r="BT35" s="329"/>
      <c r="BU35" s="329"/>
      <c r="BV35" s="329"/>
      <c r="BW35" s="329"/>
      <c r="BX35" s="329"/>
      <c r="BY35" s="329"/>
      <c r="BZ35" s="329"/>
      <c r="CA35" s="329"/>
      <c r="CB35" s="329"/>
    </row>
    <row r="36" spans="1:80" ht="15" customHeight="1">
      <c r="A36" s="4893"/>
      <c r="B36" s="2748" t="str">
        <f>'Beer Data Sheet'!B61</f>
        <v>Vienna malt</v>
      </c>
      <c r="C36" s="2354"/>
      <c r="D36" s="528" t="s">
        <v>40</v>
      </c>
      <c r="E36" s="2149">
        <f>100*IF(C36=0,0,C36/$E$69)</f>
        <v>0</v>
      </c>
      <c r="F36" s="2144">
        <f t="shared" si="9"/>
        <v>0</v>
      </c>
      <c r="G36" s="2686" t="str">
        <f>'Beer Data Sheet'!B11</f>
        <v>Brewers Gold</v>
      </c>
      <c r="H36" s="2687">
        <f>'Beer Data Sheet'!C11</f>
        <v>5.5</v>
      </c>
      <c r="I36" s="2987"/>
      <c r="J36" s="2368"/>
      <c r="K36" s="2368"/>
      <c r="L36" s="2368"/>
      <c r="M36" s="2368"/>
      <c r="N36" s="2369"/>
      <c r="O36" s="2986">
        <f t="shared" ref="O36:Q48" si="34">I36</f>
        <v>0</v>
      </c>
      <c r="P36" s="2128">
        <f t="shared" si="34"/>
        <v>0</v>
      </c>
      <c r="Q36" s="2128">
        <f t="shared" ref="Q36:T63" si="35">K36</f>
        <v>0</v>
      </c>
      <c r="R36" s="2128">
        <f t="shared" si="35"/>
        <v>0</v>
      </c>
      <c r="S36" s="2128">
        <f t="shared" si="35"/>
        <v>0</v>
      </c>
      <c r="T36" s="2366">
        <f t="shared" si="35"/>
        <v>0</v>
      </c>
      <c r="U36" s="2988"/>
      <c r="V36" s="2368"/>
      <c r="W36" s="2368"/>
      <c r="X36" s="2368"/>
      <c r="Y36" s="2368"/>
      <c r="Z36" s="2369"/>
      <c r="AA36" s="2979" t="str">
        <f t="shared" si="33"/>
        <v>Brewers Gold</v>
      </c>
      <c r="AB36" s="1865"/>
      <c r="AC36" s="358">
        <f t="shared" si="15"/>
        <v>0</v>
      </c>
      <c r="AD36" s="358">
        <f t="shared" si="16"/>
        <v>0</v>
      </c>
      <c r="AE36" s="358">
        <f t="shared" si="17"/>
        <v>0</v>
      </c>
      <c r="AF36" s="358">
        <f t="shared" si="18"/>
        <v>0</v>
      </c>
      <c r="AG36" s="358">
        <f t="shared" si="19"/>
        <v>0</v>
      </c>
      <c r="AH36" s="358">
        <f t="shared" si="20"/>
        <v>0</v>
      </c>
      <c r="AI36" s="440">
        <f t="shared" si="21"/>
        <v>0</v>
      </c>
      <c r="AJ36" s="358">
        <f t="shared" si="22"/>
        <v>0</v>
      </c>
      <c r="AK36" s="595">
        <f t="shared" si="23"/>
        <v>0</v>
      </c>
      <c r="AL36" s="595">
        <f t="shared" si="24"/>
        <v>0</v>
      </c>
      <c r="AM36" s="595">
        <f t="shared" si="25"/>
        <v>0</v>
      </c>
      <c r="AN36" s="597">
        <f t="shared" si="26"/>
        <v>0</v>
      </c>
      <c r="AO36" s="440">
        <f t="shared" si="27"/>
        <v>0</v>
      </c>
      <c r="AP36" s="598">
        <f t="shared" si="28"/>
        <v>0</v>
      </c>
      <c r="AQ36" s="593">
        <f t="shared" si="29"/>
        <v>0</v>
      </c>
      <c r="AR36" s="358">
        <f t="shared" si="30"/>
        <v>0</v>
      </c>
      <c r="AS36" s="358">
        <f t="shared" si="31"/>
        <v>0</v>
      </c>
      <c r="AT36" s="358">
        <f t="shared" si="32"/>
        <v>0</v>
      </c>
      <c r="AU36" s="153">
        <f>'Beer Data Sheet'!C61*$C$7/100</f>
        <v>221.25</v>
      </c>
      <c r="AV36" s="415">
        <f t="shared" si="10"/>
        <v>0.75</v>
      </c>
      <c r="AW36" s="527">
        <f>'Beer Data Sheet'!G61</f>
        <v>6.57</v>
      </c>
      <c r="AX36" s="527">
        <f t="shared" si="11"/>
        <v>0</v>
      </c>
      <c r="AY36" s="441">
        <f t="shared" si="12"/>
        <v>0</v>
      </c>
      <c r="AZ36" s="358">
        <f t="shared" si="13"/>
        <v>0</v>
      </c>
      <c r="BA36" s="889"/>
      <c r="BB36" s="889"/>
      <c r="BC36" s="889"/>
      <c r="BD36" s="889"/>
      <c r="BE36" s="111"/>
      <c r="BF36" s="111"/>
      <c r="BG36" s="111"/>
      <c r="BH36" s="873"/>
      <c r="BI36" s="873"/>
      <c r="BJ36" s="107"/>
      <c r="BK36" s="329"/>
      <c r="BL36" s="329"/>
      <c r="BM36" s="329"/>
      <c r="BN36" s="329"/>
      <c r="BO36" s="329"/>
      <c r="BP36" s="329"/>
      <c r="BQ36" s="329"/>
      <c r="BR36" s="329"/>
      <c r="BS36" s="329"/>
      <c r="BT36" s="329"/>
      <c r="BU36" s="329"/>
      <c r="BV36" s="329"/>
      <c r="BW36" s="329"/>
      <c r="BX36" s="329"/>
      <c r="BY36" s="329"/>
      <c r="BZ36" s="329"/>
      <c r="CA36" s="329"/>
      <c r="CB36" s="329"/>
    </row>
    <row r="37" spans="1:80" ht="15" customHeight="1">
      <c r="A37" s="4893"/>
      <c r="B37" s="2749" t="str">
        <f>'Beer Data Sheet'!B62</f>
        <v>Wheat malt</v>
      </c>
      <c r="C37" s="2354"/>
      <c r="D37" s="528" t="s">
        <v>40</v>
      </c>
      <c r="E37" s="2149">
        <f t="shared" ref="E37:E44" si="36">100*IF(C37=0,0,C37/$E$69)</f>
        <v>0</v>
      </c>
      <c r="F37" s="2144">
        <f t="shared" si="9"/>
        <v>0</v>
      </c>
      <c r="G37" s="2686" t="str">
        <f>'Beer Data Sheet'!B12</f>
        <v>Bullion</v>
      </c>
      <c r="H37" s="2687">
        <f>'Beer Data Sheet'!C12</f>
        <v>10</v>
      </c>
      <c r="I37" s="2987"/>
      <c r="J37" s="2368"/>
      <c r="K37" s="2368"/>
      <c r="L37" s="2368"/>
      <c r="M37" s="2368"/>
      <c r="N37" s="2369"/>
      <c r="O37" s="2986">
        <f t="shared" si="34"/>
        <v>0</v>
      </c>
      <c r="P37" s="2128">
        <f t="shared" si="34"/>
        <v>0</v>
      </c>
      <c r="Q37" s="2128">
        <f t="shared" si="35"/>
        <v>0</v>
      </c>
      <c r="R37" s="2128">
        <f t="shared" si="35"/>
        <v>0</v>
      </c>
      <c r="S37" s="2128">
        <f t="shared" si="35"/>
        <v>0</v>
      </c>
      <c r="T37" s="2366">
        <f t="shared" si="35"/>
        <v>0</v>
      </c>
      <c r="U37" s="2988"/>
      <c r="V37" s="2368"/>
      <c r="W37" s="2368"/>
      <c r="X37" s="2368"/>
      <c r="Y37" s="2368"/>
      <c r="Z37" s="2369"/>
      <c r="AA37" s="2979" t="str">
        <f t="shared" si="33"/>
        <v>Bullion</v>
      </c>
      <c r="AB37" s="1865"/>
      <c r="AC37" s="358">
        <f t="shared" si="15"/>
        <v>0</v>
      </c>
      <c r="AD37" s="358">
        <f t="shared" si="16"/>
        <v>0</v>
      </c>
      <c r="AE37" s="358">
        <f t="shared" si="17"/>
        <v>0</v>
      </c>
      <c r="AF37" s="358">
        <f t="shared" si="18"/>
        <v>0</v>
      </c>
      <c r="AG37" s="358">
        <f t="shared" si="19"/>
        <v>0</v>
      </c>
      <c r="AH37" s="358">
        <f t="shared" si="20"/>
        <v>0</v>
      </c>
      <c r="AI37" s="440">
        <f t="shared" si="21"/>
        <v>0</v>
      </c>
      <c r="AJ37" s="358">
        <f t="shared" si="22"/>
        <v>0</v>
      </c>
      <c r="AK37" s="595">
        <f t="shared" si="23"/>
        <v>0</v>
      </c>
      <c r="AL37" s="595">
        <f t="shared" si="24"/>
        <v>0</v>
      </c>
      <c r="AM37" s="595">
        <f t="shared" si="25"/>
        <v>0</v>
      </c>
      <c r="AN37" s="597">
        <f t="shared" si="26"/>
        <v>0</v>
      </c>
      <c r="AO37" s="440">
        <f t="shared" si="27"/>
        <v>0</v>
      </c>
      <c r="AP37" s="598">
        <f t="shared" si="28"/>
        <v>0</v>
      </c>
      <c r="AQ37" s="593">
        <f t="shared" si="29"/>
        <v>0</v>
      </c>
      <c r="AR37" s="358">
        <f t="shared" si="30"/>
        <v>0</v>
      </c>
      <c r="AS37" s="358">
        <f t="shared" si="31"/>
        <v>0</v>
      </c>
      <c r="AT37" s="358">
        <f t="shared" si="32"/>
        <v>0</v>
      </c>
      <c r="AU37" s="153">
        <f>'Beer Data Sheet'!C62*$C$7/100</f>
        <v>228.75</v>
      </c>
      <c r="AV37" s="415">
        <f t="shared" si="10"/>
        <v>0.75</v>
      </c>
      <c r="AW37" s="527">
        <f>'Beer Data Sheet'!G62</f>
        <v>2.9750000000000001</v>
      </c>
      <c r="AX37" s="527">
        <f t="shared" si="11"/>
        <v>0</v>
      </c>
      <c r="AY37" s="441">
        <f t="shared" si="12"/>
        <v>0</v>
      </c>
      <c r="AZ37" s="358">
        <f t="shared" si="13"/>
        <v>0</v>
      </c>
      <c r="BA37" s="1668" t="s">
        <v>79</v>
      </c>
      <c r="BB37" s="3212" t="s">
        <v>339</v>
      </c>
      <c r="BC37" s="2662" t="s">
        <v>340</v>
      </c>
      <c r="BD37" s="3358"/>
      <c r="BE37" s="111"/>
      <c r="BF37" s="111"/>
      <c r="BG37" s="111"/>
      <c r="BH37" s="110"/>
      <c r="BI37" s="107"/>
      <c r="BJ37" s="107"/>
      <c r="BK37" s="329"/>
      <c r="BL37" s="329"/>
      <c r="BM37" s="329"/>
      <c r="BN37" s="329"/>
      <c r="BO37" s="329"/>
      <c r="BP37" s="329"/>
      <c r="BQ37" s="329"/>
      <c r="BR37" s="329"/>
      <c r="BS37" s="329"/>
      <c r="BT37" s="329"/>
      <c r="BU37" s="329"/>
      <c r="BV37" s="329"/>
      <c r="BW37" s="329"/>
      <c r="BX37" s="329"/>
      <c r="BY37" s="329"/>
      <c r="BZ37" s="329"/>
      <c r="CA37" s="329"/>
      <c r="CB37" s="329"/>
    </row>
    <row r="38" spans="1:80" ht="15" customHeight="1">
      <c r="A38" s="4893"/>
      <c r="B38" s="2749" t="str">
        <f>'Beer Data Sheet'!B63</f>
        <v>Flaked barley</v>
      </c>
      <c r="C38" s="2354"/>
      <c r="D38" s="528" t="s">
        <v>40</v>
      </c>
      <c r="E38" s="2149">
        <f t="shared" si="36"/>
        <v>0</v>
      </c>
      <c r="F38" s="2144">
        <f t="shared" si="9"/>
        <v>0</v>
      </c>
      <c r="G38" s="2686" t="str">
        <f>'Beer Data Sheet'!B13</f>
        <v>Challenger</v>
      </c>
      <c r="H38" s="2687">
        <f>'Beer Data Sheet'!C13</f>
        <v>7.5</v>
      </c>
      <c r="I38" s="2987">
        <v>50</v>
      </c>
      <c r="J38" s="2368"/>
      <c r="K38" s="2368"/>
      <c r="L38" s="2368"/>
      <c r="M38" s="2368">
        <v>10</v>
      </c>
      <c r="N38" s="2369"/>
      <c r="O38" s="2986">
        <f t="shared" si="34"/>
        <v>50</v>
      </c>
      <c r="P38" s="2128">
        <f t="shared" si="34"/>
        <v>0</v>
      </c>
      <c r="Q38" s="2128">
        <f t="shared" si="35"/>
        <v>0</v>
      </c>
      <c r="R38" s="2128">
        <f t="shared" si="35"/>
        <v>0</v>
      </c>
      <c r="S38" s="2128">
        <f t="shared" si="35"/>
        <v>10</v>
      </c>
      <c r="T38" s="2366">
        <f t="shared" si="35"/>
        <v>0</v>
      </c>
      <c r="U38" s="2988">
        <v>30</v>
      </c>
      <c r="V38" s="2368"/>
      <c r="W38" s="2368"/>
      <c r="X38" s="2368"/>
      <c r="Y38" s="2368">
        <f>U38/5</f>
        <v>6</v>
      </c>
      <c r="Z38" s="2369"/>
      <c r="AA38" s="2979" t="str">
        <f t="shared" si="33"/>
        <v>Challenger</v>
      </c>
      <c r="AB38" s="1865"/>
      <c r="AC38" s="358">
        <f t="shared" si="15"/>
        <v>375</v>
      </c>
      <c r="AD38" s="358">
        <f t="shared" si="16"/>
        <v>0</v>
      </c>
      <c r="AE38" s="358">
        <f t="shared" si="17"/>
        <v>0</v>
      </c>
      <c r="AF38" s="358">
        <f t="shared" si="18"/>
        <v>0</v>
      </c>
      <c r="AG38" s="358">
        <f t="shared" si="19"/>
        <v>75</v>
      </c>
      <c r="AH38" s="358">
        <f t="shared" si="20"/>
        <v>0</v>
      </c>
      <c r="AI38" s="440">
        <f t="shared" si="21"/>
        <v>375</v>
      </c>
      <c r="AJ38" s="358">
        <f t="shared" si="22"/>
        <v>0</v>
      </c>
      <c r="AK38" s="595">
        <f t="shared" si="23"/>
        <v>0</v>
      </c>
      <c r="AL38" s="595">
        <f t="shared" si="24"/>
        <v>0</v>
      </c>
      <c r="AM38" s="595">
        <f t="shared" si="25"/>
        <v>75</v>
      </c>
      <c r="AN38" s="597">
        <f t="shared" si="26"/>
        <v>0</v>
      </c>
      <c r="AO38" s="440">
        <f t="shared" si="27"/>
        <v>225</v>
      </c>
      <c r="AP38" s="598">
        <f t="shared" si="28"/>
        <v>0</v>
      </c>
      <c r="AQ38" s="593">
        <f t="shared" si="29"/>
        <v>0</v>
      </c>
      <c r="AR38" s="358">
        <f t="shared" si="30"/>
        <v>0</v>
      </c>
      <c r="AS38" s="358">
        <f t="shared" si="31"/>
        <v>45</v>
      </c>
      <c r="AT38" s="358">
        <f t="shared" si="32"/>
        <v>0</v>
      </c>
      <c r="AU38" s="153">
        <f>'Beer Data Sheet'!C63*$C$7/100</f>
        <v>195</v>
      </c>
      <c r="AV38" s="415">
        <f t="shared" si="10"/>
        <v>0.75</v>
      </c>
      <c r="AW38" s="527">
        <f>'Beer Data Sheet'!G63</f>
        <v>1.7749999999999999</v>
      </c>
      <c r="AX38" s="527">
        <f t="shared" si="11"/>
        <v>0</v>
      </c>
      <c r="AY38" s="441">
        <f t="shared" si="12"/>
        <v>0</v>
      </c>
      <c r="AZ38" s="358">
        <f t="shared" si="13"/>
        <v>0</v>
      </c>
      <c r="BA38" s="1666">
        <v>1</v>
      </c>
      <c r="BB38" s="3247">
        <f t="shared" ref="BB38:BB43" si="37">BC38*(5/6)</f>
        <v>1.7611524981948188</v>
      </c>
      <c r="BC38" s="2662">
        <f t="shared" ref="BC38:BC43" si="38">8*BA38/3.7854</f>
        <v>2.1133829978337824</v>
      </c>
      <c r="BD38" s="3358"/>
      <c r="BE38" s="111"/>
      <c r="BF38" s="111"/>
      <c r="BG38" s="111"/>
      <c r="BH38" s="111"/>
      <c r="BI38" s="107"/>
      <c r="BJ38" s="107"/>
      <c r="BK38" s="329"/>
      <c r="BL38" s="329"/>
      <c r="BM38" s="329"/>
      <c r="BN38" s="329"/>
      <c r="BO38" s="329"/>
      <c r="BP38" s="329"/>
      <c r="BQ38" s="329"/>
      <c r="BR38" s="329"/>
      <c r="BS38" s="329"/>
      <c r="BT38" s="329"/>
      <c r="BU38" s="329"/>
      <c r="BV38" s="329"/>
      <c r="BW38" s="329"/>
      <c r="BX38" s="329"/>
      <c r="BY38" s="329"/>
      <c r="BZ38" s="329"/>
      <c r="CA38" s="329"/>
      <c r="CB38" s="329"/>
    </row>
    <row r="39" spans="1:80" ht="15" customHeight="1">
      <c r="A39" s="4893"/>
      <c r="B39" s="2749" t="str">
        <f>'Beer Data Sheet'!B64</f>
        <v>Flaked maize</v>
      </c>
      <c r="C39" s="2354"/>
      <c r="D39" s="528" t="s">
        <v>40</v>
      </c>
      <c r="E39" s="2149">
        <f t="shared" si="36"/>
        <v>0</v>
      </c>
      <c r="F39" s="2144">
        <f t="shared" si="9"/>
        <v>0</v>
      </c>
      <c r="G39" s="2686" t="str">
        <f>'Beer Data Sheet'!B14</f>
        <v>Cluster</v>
      </c>
      <c r="H39" s="2687">
        <f>'Beer Data Sheet'!C14</f>
        <v>6.9</v>
      </c>
      <c r="I39" s="2987"/>
      <c r="J39" s="2368"/>
      <c r="K39" s="2368"/>
      <c r="L39" s="2368"/>
      <c r="M39" s="2368"/>
      <c r="N39" s="2369"/>
      <c r="O39" s="2986">
        <f t="shared" si="34"/>
        <v>0</v>
      </c>
      <c r="P39" s="2128">
        <f t="shared" si="34"/>
        <v>0</v>
      </c>
      <c r="Q39" s="2128">
        <f t="shared" si="35"/>
        <v>0</v>
      </c>
      <c r="R39" s="2128">
        <f t="shared" si="35"/>
        <v>0</v>
      </c>
      <c r="S39" s="2128">
        <f t="shared" si="35"/>
        <v>0</v>
      </c>
      <c r="T39" s="2366">
        <f t="shared" si="35"/>
        <v>0</v>
      </c>
      <c r="U39" s="2988"/>
      <c r="V39" s="2368"/>
      <c r="W39" s="2368"/>
      <c r="X39" s="2368"/>
      <c r="Y39" s="2368"/>
      <c r="Z39" s="2369"/>
      <c r="AA39" s="2979" t="str">
        <f t="shared" si="33"/>
        <v>Cluster</v>
      </c>
      <c r="AB39" s="1865"/>
      <c r="AC39" s="358">
        <f t="shared" si="15"/>
        <v>0</v>
      </c>
      <c r="AD39" s="358">
        <f t="shared" si="16"/>
        <v>0</v>
      </c>
      <c r="AE39" s="358">
        <f t="shared" si="17"/>
        <v>0</v>
      </c>
      <c r="AF39" s="358">
        <f t="shared" si="18"/>
        <v>0</v>
      </c>
      <c r="AG39" s="358">
        <f t="shared" si="19"/>
        <v>0</v>
      </c>
      <c r="AH39" s="358">
        <f t="shared" si="20"/>
        <v>0</v>
      </c>
      <c r="AI39" s="440">
        <f t="shared" si="21"/>
        <v>0</v>
      </c>
      <c r="AJ39" s="358">
        <f t="shared" si="22"/>
        <v>0</v>
      </c>
      <c r="AK39" s="595">
        <f t="shared" si="23"/>
        <v>0</v>
      </c>
      <c r="AL39" s="595">
        <f t="shared" si="24"/>
        <v>0</v>
      </c>
      <c r="AM39" s="595">
        <f t="shared" si="25"/>
        <v>0</v>
      </c>
      <c r="AN39" s="597">
        <f t="shared" si="26"/>
        <v>0</v>
      </c>
      <c r="AO39" s="440">
        <f t="shared" si="27"/>
        <v>0</v>
      </c>
      <c r="AP39" s="598">
        <f t="shared" si="28"/>
        <v>0</v>
      </c>
      <c r="AQ39" s="593">
        <f t="shared" si="29"/>
        <v>0</v>
      </c>
      <c r="AR39" s="358">
        <f t="shared" si="30"/>
        <v>0</v>
      </c>
      <c r="AS39" s="358">
        <f t="shared" si="31"/>
        <v>0</v>
      </c>
      <c r="AT39" s="358">
        <f t="shared" si="32"/>
        <v>0</v>
      </c>
      <c r="AU39" s="153">
        <f>'Beer Data Sheet'!C64*$C$7/100</f>
        <v>232.5</v>
      </c>
      <c r="AV39" s="415">
        <f t="shared" si="10"/>
        <v>0.75</v>
      </c>
      <c r="AW39" s="527">
        <f>'Beer Data Sheet'!G64</f>
        <v>0.71</v>
      </c>
      <c r="AX39" s="527">
        <f t="shared" si="11"/>
        <v>0</v>
      </c>
      <c r="AY39" s="441">
        <f t="shared" si="12"/>
        <v>0</v>
      </c>
      <c r="AZ39" s="358">
        <f t="shared" si="13"/>
        <v>0</v>
      </c>
      <c r="BA39" s="1666">
        <v>2</v>
      </c>
      <c r="BB39" s="3247">
        <f t="shared" si="37"/>
        <v>3.5223049963896376</v>
      </c>
      <c r="BC39" s="2662">
        <f t="shared" si="38"/>
        <v>4.2267659956675647</v>
      </c>
      <c r="BD39" s="3358"/>
      <c r="BE39" s="111"/>
      <c r="BF39" s="111"/>
      <c r="BG39" s="111"/>
      <c r="BH39" s="111"/>
      <c r="BI39" s="107"/>
      <c r="BJ39" s="107"/>
      <c r="BK39" s="329"/>
      <c r="BL39" s="329"/>
      <c r="BM39" s="329"/>
      <c r="BN39" s="329"/>
      <c r="BO39" s="329"/>
      <c r="BP39" s="329"/>
      <c r="BQ39" s="329"/>
      <c r="BR39" s="329"/>
      <c r="BS39" s="329"/>
      <c r="BT39" s="329"/>
      <c r="BU39" s="329"/>
      <c r="BV39" s="329"/>
      <c r="BW39" s="329"/>
      <c r="BX39" s="329"/>
      <c r="BY39" s="329"/>
      <c r="BZ39" s="329"/>
      <c r="CA39" s="329"/>
      <c r="CB39" s="329"/>
    </row>
    <row r="40" spans="1:80" ht="15" customHeight="1">
      <c r="A40" s="4893"/>
      <c r="B40" s="2749" t="str">
        <f>'Beer Data Sheet'!B65</f>
        <v xml:space="preserve">Flaked ̸ Torrified barley </v>
      </c>
      <c r="C40" s="2354"/>
      <c r="D40" s="528" t="s">
        <v>40</v>
      </c>
      <c r="E40" s="2149">
        <f t="shared" si="36"/>
        <v>0</v>
      </c>
      <c r="F40" s="2144">
        <f t="shared" si="9"/>
        <v>0</v>
      </c>
      <c r="G40" s="2686" t="str">
        <f>'Beer Data Sheet'!B15</f>
        <v>EKG</v>
      </c>
      <c r="H40" s="2687">
        <f>'Beer Data Sheet'!C15</f>
        <v>5.5</v>
      </c>
      <c r="I40" s="2987"/>
      <c r="J40" s="2368"/>
      <c r="K40" s="2368"/>
      <c r="L40" s="2368"/>
      <c r="M40" s="2368"/>
      <c r="N40" s="2369"/>
      <c r="O40" s="2986">
        <f t="shared" si="34"/>
        <v>0</v>
      </c>
      <c r="P40" s="2128">
        <f t="shared" si="34"/>
        <v>0</v>
      </c>
      <c r="Q40" s="2128">
        <f t="shared" si="35"/>
        <v>0</v>
      </c>
      <c r="R40" s="2128">
        <f t="shared" si="35"/>
        <v>0</v>
      </c>
      <c r="S40" s="2128">
        <f t="shared" si="35"/>
        <v>0</v>
      </c>
      <c r="T40" s="2366">
        <f t="shared" si="35"/>
        <v>0</v>
      </c>
      <c r="U40" s="2988"/>
      <c r="V40" s="2368"/>
      <c r="W40" s="2368"/>
      <c r="X40" s="2368"/>
      <c r="Y40" s="2368"/>
      <c r="Z40" s="2369"/>
      <c r="AA40" s="2979" t="str">
        <f t="shared" si="33"/>
        <v>EKG</v>
      </c>
      <c r="AB40" s="1865"/>
      <c r="AC40" s="358">
        <f t="shared" si="15"/>
        <v>0</v>
      </c>
      <c r="AD40" s="358">
        <f t="shared" si="16"/>
        <v>0</v>
      </c>
      <c r="AE40" s="358">
        <f t="shared" si="17"/>
        <v>0</v>
      </c>
      <c r="AF40" s="358">
        <f t="shared" si="18"/>
        <v>0</v>
      </c>
      <c r="AG40" s="358">
        <f t="shared" si="19"/>
        <v>0</v>
      </c>
      <c r="AH40" s="358">
        <f t="shared" si="20"/>
        <v>0</v>
      </c>
      <c r="AI40" s="440">
        <f t="shared" si="21"/>
        <v>0</v>
      </c>
      <c r="AJ40" s="358">
        <f t="shared" si="22"/>
        <v>0</v>
      </c>
      <c r="AK40" s="595">
        <f t="shared" si="23"/>
        <v>0</v>
      </c>
      <c r="AL40" s="595">
        <f t="shared" si="24"/>
        <v>0</v>
      </c>
      <c r="AM40" s="595">
        <f t="shared" si="25"/>
        <v>0</v>
      </c>
      <c r="AN40" s="597">
        <f t="shared" si="26"/>
        <v>0</v>
      </c>
      <c r="AO40" s="440">
        <f t="shared" si="27"/>
        <v>0</v>
      </c>
      <c r="AP40" s="598">
        <f t="shared" si="28"/>
        <v>0</v>
      </c>
      <c r="AQ40" s="593">
        <f t="shared" si="29"/>
        <v>0</v>
      </c>
      <c r="AR40" s="358">
        <f t="shared" si="30"/>
        <v>0</v>
      </c>
      <c r="AS40" s="358">
        <f t="shared" si="31"/>
        <v>0</v>
      </c>
      <c r="AT40" s="358">
        <f t="shared" si="32"/>
        <v>0</v>
      </c>
      <c r="AU40" s="153">
        <f>'Beer Data Sheet'!C65*$C$7/100</f>
        <v>187.5</v>
      </c>
      <c r="AV40" s="415">
        <f t="shared" si="10"/>
        <v>0.75</v>
      </c>
      <c r="AW40" s="527">
        <f>'Beer Data Sheet'!G65</f>
        <v>2.13</v>
      </c>
      <c r="AX40" s="527">
        <f t="shared" si="11"/>
        <v>0</v>
      </c>
      <c r="AY40" s="441">
        <f t="shared" si="12"/>
        <v>0</v>
      </c>
      <c r="AZ40" s="358">
        <f t="shared" si="13"/>
        <v>0</v>
      </c>
      <c r="BA40" s="1666">
        <v>3</v>
      </c>
      <c r="BB40" s="3247">
        <f t="shared" si="37"/>
        <v>5.2834574945844563</v>
      </c>
      <c r="BC40" s="2662">
        <f t="shared" si="38"/>
        <v>6.3401489935013471</v>
      </c>
      <c r="BD40" s="3358"/>
      <c r="BE40" s="111"/>
      <c r="BF40" s="111"/>
      <c r="BG40" s="111"/>
      <c r="BH40" s="111"/>
      <c r="BI40" s="107"/>
      <c r="BJ40" s="107"/>
      <c r="BK40" s="329"/>
      <c r="BL40" s="329"/>
      <c r="BM40" s="329"/>
      <c r="BN40" s="329"/>
      <c r="BO40" s="329"/>
      <c r="BP40" s="329"/>
      <c r="BQ40" s="329"/>
      <c r="BR40" s="329"/>
      <c r="BS40" s="329"/>
      <c r="BT40" s="329"/>
      <c r="BU40" s="329"/>
      <c r="BV40" s="329"/>
      <c r="BW40" s="329"/>
      <c r="BX40" s="329"/>
      <c r="BY40" s="329"/>
      <c r="BZ40" s="329"/>
      <c r="CA40" s="329"/>
      <c r="CB40" s="329"/>
    </row>
    <row r="41" spans="1:80" ht="15" customHeight="1">
      <c r="A41" s="4893"/>
      <c r="B41" s="2749" t="str">
        <f>'Beer Data Sheet'!B66</f>
        <v>Oats</v>
      </c>
      <c r="C41" s="2354"/>
      <c r="D41" s="528" t="s">
        <v>40</v>
      </c>
      <c r="E41" s="2149">
        <f t="shared" si="36"/>
        <v>0</v>
      </c>
      <c r="F41" s="2144">
        <f t="shared" si="9"/>
        <v>0</v>
      </c>
      <c r="G41" s="2686" t="str">
        <f>'Beer Data Sheet'!B16</f>
        <v>First Gold</v>
      </c>
      <c r="H41" s="2687">
        <f>'Beer Data Sheet'!C16</f>
        <v>7.9</v>
      </c>
      <c r="I41" s="2987"/>
      <c r="J41" s="2368"/>
      <c r="K41" s="2368"/>
      <c r="L41" s="2368"/>
      <c r="M41" s="2368"/>
      <c r="N41" s="2369"/>
      <c r="O41" s="2986">
        <f t="shared" si="34"/>
        <v>0</v>
      </c>
      <c r="P41" s="2128">
        <f t="shared" si="34"/>
        <v>0</v>
      </c>
      <c r="Q41" s="2128">
        <f t="shared" si="35"/>
        <v>0</v>
      </c>
      <c r="R41" s="2128">
        <f t="shared" si="35"/>
        <v>0</v>
      </c>
      <c r="S41" s="2128">
        <f t="shared" si="35"/>
        <v>0</v>
      </c>
      <c r="T41" s="2366">
        <f t="shared" si="35"/>
        <v>0</v>
      </c>
      <c r="U41" s="2988"/>
      <c r="V41" s="2368"/>
      <c r="W41" s="2368"/>
      <c r="X41" s="2368"/>
      <c r="Y41" s="2368"/>
      <c r="Z41" s="2369"/>
      <c r="AA41" s="2979" t="str">
        <f t="shared" si="33"/>
        <v>First Gold</v>
      </c>
      <c r="AB41" s="1865"/>
      <c r="AC41" s="358">
        <f t="shared" si="15"/>
        <v>0</v>
      </c>
      <c r="AD41" s="358">
        <f t="shared" si="16"/>
        <v>0</v>
      </c>
      <c r="AE41" s="358">
        <f t="shared" si="17"/>
        <v>0</v>
      </c>
      <c r="AF41" s="358">
        <f t="shared" si="18"/>
        <v>0</v>
      </c>
      <c r="AG41" s="358">
        <f t="shared" si="19"/>
        <v>0</v>
      </c>
      <c r="AH41" s="358">
        <f t="shared" si="20"/>
        <v>0</v>
      </c>
      <c r="AI41" s="440">
        <f t="shared" si="21"/>
        <v>0</v>
      </c>
      <c r="AJ41" s="358">
        <f t="shared" si="22"/>
        <v>0</v>
      </c>
      <c r="AK41" s="595">
        <f t="shared" si="23"/>
        <v>0</v>
      </c>
      <c r="AL41" s="595">
        <f t="shared" si="24"/>
        <v>0</v>
      </c>
      <c r="AM41" s="595">
        <f t="shared" si="25"/>
        <v>0</v>
      </c>
      <c r="AN41" s="597">
        <f t="shared" si="26"/>
        <v>0</v>
      </c>
      <c r="AO41" s="440">
        <f t="shared" si="27"/>
        <v>0</v>
      </c>
      <c r="AP41" s="598">
        <f t="shared" si="28"/>
        <v>0</v>
      </c>
      <c r="AQ41" s="593">
        <f t="shared" si="29"/>
        <v>0</v>
      </c>
      <c r="AR41" s="358">
        <f t="shared" si="30"/>
        <v>0</v>
      </c>
      <c r="AS41" s="358">
        <f t="shared" si="31"/>
        <v>0</v>
      </c>
      <c r="AT41" s="358">
        <f t="shared" si="32"/>
        <v>0</v>
      </c>
      <c r="AU41" s="153">
        <f>'Beer Data Sheet'!C66*$C$7/100</f>
        <v>187.5</v>
      </c>
      <c r="AV41" s="415">
        <f t="shared" si="10"/>
        <v>0.75</v>
      </c>
      <c r="AW41" s="527">
        <f>'Beer Data Sheet'!G66</f>
        <v>1.0649999999999999</v>
      </c>
      <c r="AX41" s="527">
        <f t="shared" si="11"/>
        <v>0</v>
      </c>
      <c r="AY41" s="441">
        <f t="shared" si="12"/>
        <v>0</v>
      </c>
      <c r="AZ41" s="358">
        <f t="shared" si="13"/>
        <v>0</v>
      </c>
      <c r="BA41" s="1666">
        <v>4</v>
      </c>
      <c r="BB41" s="3247">
        <f t="shared" si="37"/>
        <v>7.0446099927792751</v>
      </c>
      <c r="BC41" s="2662">
        <f t="shared" si="38"/>
        <v>8.4535319913351294</v>
      </c>
      <c r="BD41" s="3358"/>
      <c r="BE41" s="111"/>
      <c r="BF41" s="111"/>
      <c r="BG41" s="111"/>
      <c r="BH41" s="111"/>
      <c r="BI41" s="107"/>
      <c r="BJ41" s="107"/>
      <c r="BK41" s="329"/>
      <c r="BL41" s="329"/>
      <c r="BM41" s="329"/>
      <c r="BN41" s="329"/>
      <c r="BO41" s="329"/>
      <c r="BP41" s="329"/>
      <c r="BQ41" s="329"/>
      <c r="BR41" s="329"/>
      <c r="BS41" s="329"/>
      <c r="BT41" s="329"/>
      <c r="BU41" s="329"/>
      <c r="BV41" s="329"/>
      <c r="BW41" s="329"/>
      <c r="BX41" s="329"/>
      <c r="BY41" s="329"/>
      <c r="BZ41" s="329"/>
      <c r="CA41" s="329"/>
      <c r="CB41" s="329"/>
    </row>
    <row r="42" spans="1:80" ht="15" customHeight="1">
      <c r="A42" s="4893"/>
      <c r="B42" s="2749" t="str">
        <f>'Beer Data Sheet'!B67</f>
        <v>Torrified wheat</v>
      </c>
      <c r="C42" s="2354"/>
      <c r="D42" s="528" t="s">
        <v>40</v>
      </c>
      <c r="E42" s="2149">
        <f t="shared" si="36"/>
        <v>0</v>
      </c>
      <c r="F42" s="2144">
        <f t="shared" si="9"/>
        <v>0</v>
      </c>
      <c r="G42" s="2686" t="str">
        <f>'Beer Data Sheet'!B17</f>
        <v>Fuggles</v>
      </c>
      <c r="H42" s="2687">
        <f>'Beer Data Sheet'!C17</f>
        <v>4.5</v>
      </c>
      <c r="I42" s="2987"/>
      <c r="J42" s="2368"/>
      <c r="K42" s="2368"/>
      <c r="L42" s="2368"/>
      <c r="M42" s="2368"/>
      <c r="N42" s="2369"/>
      <c r="O42" s="2986">
        <f t="shared" si="34"/>
        <v>0</v>
      </c>
      <c r="P42" s="2128">
        <f t="shared" si="34"/>
        <v>0</v>
      </c>
      <c r="Q42" s="2128">
        <f t="shared" si="34"/>
        <v>0</v>
      </c>
      <c r="R42" s="2128">
        <f t="shared" si="35"/>
        <v>0</v>
      </c>
      <c r="S42" s="2128">
        <f t="shared" si="35"/>
        <v>0</v>
      </c>
      <c r="T42" s="2366">
        <f t="shared" si="35"/>
        <v>0</v>
      </c>
      <c r="U42" s="2988"/>
      <c r="V42" s="2368"/>
      <c r="W42" s="2368"/>
      <c r="X42" s="2368"/>
      <c r="Y42" s="2368"/>
      <c r="Z42" s="2369"/>
      <c r="AA42" s="2980" t="str">
        <f t="shared" si="33"/>
        <v>Fuggles</v>
      </c>
      <c r="AB42" s="1867"/>
      <c r="AC42" s="358">
        <f t="shared" si="15"/>
        <v>0</v>
      </c>
      <c r="AD42" s="358">
        <f t="shared" si="16"/>
        <v>0</v>
      </c>
      <c r="AE42" s="358">
        <f t="shared" si="17"/>
        <v>0</v>
      </c>
      <c r="AF42" s="358">
        <f t="shared" si="18"/>
        <v>0</v>
      </c>
      <c r="AG42" s="358">
        <f t="shared" si="19"/>
        <v>0</v>
      </c>
      <c r="AH42" s="358">
        <f t="shared" si="20"/>
        <v>0</v>
      </c>
      <c r="AI42" s="440">
        <f t="shared" si="21"/>
        <v>0</v>
      </c>
      <c r="AJ42" s="358">
        <f t="shared" si="22"/>
        <v>0</v>
      </c>
      <c r="AK42" s="595">
        <f t="shared" si="23"/>
        <v>0</v>
      </c>
      <c r="AL42" s="595">
        <f t="shared" si="24"/>
        <v>0</v>
      </c>
      <c r="AM42" s="595">
        <f t="shared" si="25"/>
        <v>0</v>
      </c>
      <c r="AN42" s="597">
        <f t="shared" si="26"/>
        <v>0</v>
      </c>
      <c r="AO42" s="440">
        <f t="shared" si="27"/>
        <v>0</v>
      </c>
      <c r="AP42" s="598">
        <f t="shared" si="28"/>
        <v>0</v>
      </c>
      <c r="AQ42" s="593">
        <f t="shared" si="29"/>
        <v>0</v>
      </c>
      <c r="AR42" s="358">
        <f t="shared" si="30"/>
        <v>0</v>
      </c>
      <c r="AS42" s="358">
        <f t="shared" si="31"/>
        <v>0</v>
      </c>
      <c r="AT42" s="358">
        <f t="shared" si="32"/>
        <v>0</v>
      </c>
      <c r="AU42" s="153">
        <f>'Beer Data Sheet'!C67*$C$7/100</f>
        <v>216</v>
      </c>
      <c r="AV42" s="415">
        <f t="shared" si="10"/>
        <v>0.75</v>
      </c>
      <c r="AW42" s="527">
        <f>'Beer Data Sheet'!G67</f>
        <v>2.84</v>
      </c>
      <c r="AX42" s="527">
        <f t="shared" si="11"/>
        <v>0</v>
      </c>
      <c r="AY42" s="441">
        <f t="shared" si="12"/>
        <v>0</v>
      </c>
      <c r="AZ42" s="358">
        <f t="shared" si="13"/>
        <v>0</v>
      </c>
      <c r="BA42" s="1666">
        <v>5</v>
      </c>
      <c r="BB42" s="3247">
        <f t="shared" si="37"/>
        <v>8.8057624909740948</v>
      </c>
      <c r="BC42" s="2662">
        <f t="shared" si="38"/>
        <v>10.566914989168913</v>
      </c>
      <c r="BD42" s="3358"/>
      <c r="BE42" s="111"/>
      <c r="BF42" s="111"/>
      <c r="BG42" s="111"/>
      <c r="BH42" s="111"/>
      <c r="BI42" s="107"/>
      <c r="BJ42" s="107"/>
      <c r="BK42" s="329"/>
      <c r="BL42" s="329"/>
      <c r="BM42" s="329"/>
      <c r="BN42" s="329"/>
      <c r="BO42" s="329"/>
      <c r="BP42" s="329"/>
      <c r="BQ42" s="329"/>
      <c r="BR42" s="329"/>
      <c r="BS42" s="329"/>
      <c r="BT42" s="329"/>
      <c r="BU42" s="329"/>
      <c r="BV42" s="329"/>
      <c r="BW42" s="329"/>
      <c r="BX42" s="329"/>
      <c r="BY42" s="329"/>
      <c r="BZ42" s="329"/>
      <c r="CA42" s="329"/>
      <c r="CB42" s="329"/>
    </row>
    <row r="43" spans="1:80" ht="15" customHeight="1">
      <c r="A43" s="4893"/>
      <c r="B43" s="2749" t="str">
        <f>'Beer Data Sheet'!B68</f>
        <v xml:space="preserve">Wheat flakes </v>
      </c>
      <c r="C43" s="2354"/>
      <c r="D43" s="528" t="s">
        <v>40</v>
      </c>
      <c r="E43" s="2149">
        <f t="shared" si="36"/>
        <v>0</v>
      </c>
      <c r="F43" s="2144">
        <f t="shared" si="9"/>
        <v>0</v>
      </c>
      <c r="G43" s="2686" t="str">
        <f>'Beer Data Sheet'!B18</f>
        <v>Goldings (Worc.)</v>
      </c>
      <c r="H43" s="2687">
        <f>'Beer Data Sheet'!C18</f>
        <v>5</v>
      </c>
      <c r="I43" s="2987"/>
      <c r="J43" s="2368"/>
      <c r="K43" s="2368"/>
      <c r="L43" s="2368"/>
      <c r="M43" s="2368"/>
      <c r="N43" s="2369"/>
      <c r="O43" s="2986">
        <f t="shared" si="34"/>
        <v>0</v>
      </c>
      <c r="P43" s="2128">
        <f t="shared" si="34"/>
        <v>0</v>
      </c>
      <c r="Q43" s="2128">
        <f t="shared" si="35"/>
        <v>0</v>
      </c>
      <c r="R43" s="2128">
        <f t="shared" si="35"/>
        <v>0</v>
      </c>
      <c r="S43" s="2128">
        <f t="shared" si="35"/>
        <v>0</v>
      </c>
      <c r="T43" s="2366">
        <f t="shared" si="35"/>
        <v>0</v>
      </c>
      <c r="U43" s="2988"/>
      <c r="V43" s="2368"/>
      <c r="W43" s="2368"/>
      <c r="X43" s="2368"/>
      <c r="Y43" s="2368"/>
      <c r="Z43" s="2369"/>
      <c r="AA43" s="2980" t="str">
        <f t="shared" si="33"/>
        <v>Goldings (Worc.)</v>
      </c>
      <c r="AB43" s="1867"/>
      <c r="AC43" s="358">
        <f t="shared" si="15"/>
        <v>0</v>
      </c>
      <c r="AD43" s="358">
        <f t="shared" si="16"/>
        <v>0</v>
      </c>
      <c r="AE43" s="358">
        <f t="shared" si="17"/>
        <v>0</v>
      </c>
      <c r="AF43" s="358">
        <f t="shared" si="18"/>
        <v>0</v>
      </c>
      <c r="AG43" s="358">
        <f t="shared" si="19"/>
        <v>0</v>
      </c>
      <c r="AH43" s="358">
        <f t="shared" si="20"/>
        <v>0</v>
      </c>
      <c r="AI43" s="440">
        <f t="shared" si="21"/>
        <v>0</v>
      </c>
      <c r="AJ43" s="358">
        <f t="shared" si="22"/>
        <v>0</v>
      </c>
      <c r="AK43" s="595">
        <f t="shared" si="23"/>
        <v>0</v>
      </c>
      <c r="AL43" s="595">
        <f t="shared" si="24"/>
        <v>0</v>
      </c>
      <c r="AM43" s="595">
        <f t="shared" si="25"/>
        <v>0</v>
      </c>
      <c r="AN43" s="597">
        <f t="shared" si="26"/>
        <v>0</v>
      </c>
      <c r="AO43" s="440">
        <f t="shared" si="27"/>
        <v>0</v>
      </c>
      <c r="AP43" s="598">
        <f t="shared" si="28"/>
        <v>0</v>
      </c>
      <c r="AQ43" s="593">
        <f t="shared" si="29"/>
        <v>0</v>
      </c>
      <c r="AR43" s="358">
        <f t="shared" si="30"/>
        <v>0</v>
      </c>
      <c r="AS43" s="358">
        <f t="shared" si="31"/>
        <v>0</v>
      </c>
      <c r="AT43" s="358">
        <f t="shared" si="32"/>
        <v>0</v>
      </c>
      <c r="AU43" s="153">
        <f>'Beer Data Sheet'!C68*$C$7/100</f>
        <v>129.75</v>
      </c>
      <c r="AV43" s="415">
        <f t="shared" si="10"/>
        <v>0.75</v>
      </c>
      <c r="AW43" s="527">
        <f>'Beer Data Sheet'!G68</f>
        <v>0</v>
      </c>
      <c r="AX43" s="527">
        <f t="shared" si="11"/>
        <v>0</v>
      </c>
      <c r="AY43" s="441">
        <f t="shared" si="12"/>
        <v>0</v>
      </c>
      <c r="AZ43" s="358">
        <f t="shared" si="13"/>
        <v>0</v>
      </c>
      <c r="BA43" s="1666">
        <v>10</v>
      </c>
      <c r="BB43" s="3247">
        <f t="shared" si="37"/>
        <v>17.61152498194819</v>
      </c>
      <c r="BC43" s="2662">
        <f t="shared" si="38"/>
        <v>21.133829978337825</v>
      </c>
      <c r="BD43" s="3358"/>
      <c r="BE43" s="111"/>
      <c r="BF43" s="111"/>
      <c r="BG43" s="111"/>
      <c r="BH43" s="111"/>
      <c r="BI43" s="107"/>
      <c r="BJ43" s="107"/>
      <c r="BK43" s="329"/>
      <c r="BL43" s="329"/>
      <c r="BM43" s="329"/>
      <c r="BN43" s="329"/>
      <c r="BO43" s="329"/>
      <c r="BP43" s="329"/>
      <c r="BQ43" s="329"/>
      <c r="BR43" s="329"/>
      <c r="BS43" s="329"/>
      <c r="BT43" s="329"/>
      <c r="BU43" s="329"/>
      <c r="BV43" s="329"/>
      <c r="BW43" s="329"/>
      <c r="BX43" s="329"/>
      <c r="BY43" s="329"/>
      <c r="BZ43" s="329"/>
      <c r="CA43" s="329"/>
      <c r="CB43" s="329"/>
    </row>
    <row r="44" spans="1:80" ht="15" customHeight="1">
      <c r="A44" s="4893"/>
      <c r="B44" s="2749" t="str">
        <f>'Beer Data Sheet'!B69</f>
        <v>Wheat flour</v>
      </c>
      <c r="C44" s="2354"/>
      <c r="D44" s="528" t="s">
        <v>40</v>
      </c>
      <c r="E44" s="2149">
        <f t="shared" si="36"/>
        <v>0</v>
      </c>
      <c r="F44" s="2144">
        <f t="shared" si="9"/>
        <v>0</v>
      </c>
      <c r="G44" s="2686" t="str">
        <f>'Beer Data Sheet'!B19</f>
        <v>Hallertauer ("German")</v>
      </c>
      <c r="H44" s="2687">
        <f>'Beer Data Sheet'!C19</f>
        <v>2</v>
      </c>
      <c r="I44" s="2987"/>
      <c r="J44" s="2368"/>
      <c r="K44" s="2368"/>
      <c r="L44" s="2368"/>
      <c r="M44" s="2368"/>
      <c r="N44" s="2369"/>
      <c r="O44" s="2986">
        <f t="shared" si="34"/>
        <v>0</v>
      </c>
      <c r="P44" s="2128">
        <f t="shared" si="34"/>
        <v>0</v>
      </c>
      <c r="Q44" s="2128">
        <f t="shared" si="35"/>
        <v>0</v>
      </c>
      <c r="R44" s="2128">
        <f t="shared" si="35"/>
        <v>0</v>
      </c>
      <c r="S44" s="2128">
        <f t="shared" si="35"/>
        <v>0</v>
      </c>
      <c r="T44" s="2366">
        <f t="shared" si="35"/>
        <v>0</v>
      </c>
      <c r="U44" s="2988"/>
      <c r="V44" s="2368"/>
      <c r="W44" s="2368"/>
      <c r="X44" s="2368"/>
      <c r="Y44" s="2368"/>
      <c r="Z44" s="2369"/>
      <c r="AA44" s="2980" t="str">
        <f t="shared" si="33"/>
        <v>Hallertauer ("German")</v>
      </c>
      <c r="AB44" s="1867"/>
      <c r="AC44" s="358">
        <f t="shared" si="15"/>
        <v>0</v>
      </c>
      <c r="AD44" s="358">
        <f t="shared" si="16"/>
        <v>0</v>
      </c>
      <c r="AE44" s="358">
        <f t="shared" si="17"/>
        <v>0</v>
      </c>
      <c r="AF44" s="358">
        <f t="shared" si="18"/>
        <v>0</v>
      </c>
      <c r="AG44" s="358">
        <f t="shared" si="19"/>
        <v>0</v>
      </c>
      <c r="AH44" s="358">
        <f t="shared" si="20"/>
        <v>0</v>
      </c>
      <c r="AI44" s="440">
        <f t="shared" si="21"/>
        <v>0</v>
      </c>
      <c r="AJ44" s="358">
        <f t="shared" si="22"/>
        <v>0</v>
      </c>
      <c r="AK44" s="595">
        <f t="shared" si="23"/>
        <v>0</v>
      </c>
      <c r="AL44" s="595">
        <f t="shared" si="24"/>
        <v>0</v>
      </c>
      <c r="AM44" s="595">
        <f t="shared" si="25"/>
        <v>0</v>
      </c>
      <c r="AN44" s="597">
        <f t="shared" si="26"/>
        <v>0</v>
      </c>
      <c r="AO44" s="440">
        <f t="shared" si="27"/>
        <v>0</v>
      </c>
      <c r="AP44" s="598">
        <f t="shared" si="28"/>
        <v>0</v>
      </c>
      <c r="AQ44" s="593">
        <f t="shared" si="29"/>
        <v>0</v>
      </c>
      <c r="AR44" s="358">
        <f t="shared" si="30"/>
        <v>0</v>
      </c>
      <c r="AS44" s="358">
        <f t="shared" si="31"/>
        <v>0</v>
      </c>
      <c r="AT44" s="358">
        <f t="shared" si="32"/>
        <v>0</v>
      </c>
      <c r="AU44" s="153">
        <f>'Beer Data Sheet'!C69*$C$7/100</f>
        <v>228</v>
      </c>
      <c r="AV44" s="415">
        <f t="shared" si="10"/>
        <v>0.75</v>
      </c>
      <c r="AW44" s="527">
        <f>'Beer Data Sheet'!G69</f>
        <v>0</v>
      </c>
      <c r="AX44" s="527">
        <f t="shared" si="11"/>
        <v>0</v>
      </c>
      <c r="AY44" s="441">
        <f t="shared" si="12"/>
        <v>0</v>
      </c>
      <c r="AZ44" s="358">
        <f t="shared" si="13"/>
        <v>0</v>
      </c>
      <c r="BA44" s="889"/>
      <c r="BB44" s="889"/>
      <c r="BC44" s="889"/>
      <c r="BD44" s="889"/>
      <c r="BE44" s="889"/>
      <c r="BF44" s="107"/>
      <c r="BG44" s="107"/>
      <c r="BH44" s="107"/>
      <c r="BI44" s="107"/>
      <c r="BJ44" s="107"/>
      <c r="BK44" s="329"/>
      <c r="BL44" s="329"/>
      <c r="BM44" s="329"/>
      <c r="BN44" s="329"/>
      <c r="BO44" s="329"/>
      <c r="BP44" s="329"/>
      <c r="BQ44" s="329"/>
      <c r="BR44" s="329"/>
      <c r="BS44" s="329"/>
      <c r="BT44" s="329"/>
      <c r="BU44" s="329"/>
      <c r="BV44" s="329"/>
      <c r="BW44" s="329"/>
      <c r="BX44" s="329"/>
      <c r="BY44" s="329"/>
      <c r="BZ44" s="329"/>
      <c r="CA44" s="329"/>
      <c r="CB44" s="329"/>
    </row>
    <row r="45" spans="1:80" ht="15" customHeight="1">
      <c r="A45" s="4894"/>
      <c r="B45" s="2749" t="str">
        <f>'Beer Data Sheet'!B70</f>
        <v>Wheat malt ̸ Malted wheat</v>
      </c>
      <c r="C45" s="2354"/>
      <c r="D45" s="528" t="s">
        <v>40</v>
      </c>
      <c r="E45" s="2149">
        <f>100*IF(C45=0,0,C45/$E$69)</f>
        <v>0</v>
      </c>
      <c r="F45" s="2144">
        <f t="shared" si="9"/>
        <v>0</v>
      </c>
      <c r="G45" s="2686" t="str">
        <f>'Beer Data Sheet'!B20</f>
        <v>Hallertauer ("Pacific")</v>
      </c>
      <c r="H45" s="2687">
        <f>'Beer Data Sheet'!C20</f>
        <v>6.7</v>
      </c>
      <c r="I45" s="2987"/>
      <c r="J45" s="2368"/>
      <c r="K45" s="2368"/>
      <c r="L45" s="2368"/>
      <c r="M45" s="2368"/>
      <c r="N45" s="2369"/>
      <c r="O45" s="2986">
        <f t="shared" si="34"/>
        <v>0</v>
      </c>
      <c r="P45" s="2128">
        <f t="shared" si="34"/>
        <v>0</v>
      </c>
      <c r="Q45" s="2128">
        <f t="shared" si="35"/>
        <v>0</v>
      </c>
      <c r="R45" s="2128">
        <f t="shared" si="35"/>
        <v>0</v>
      </c>
      <c r="S45" s="2128">
        <f t="shared" si="35"/>
        <v>0</v>
      </c>
      <c r="T45" s="2366">
        <f t="shared" si="35"/>
        <v>0</v>
      </c>
      <c r="U45" s="2988"/>
      <c r="V45" s="2368"/>
      <c r="W45" s="2368"/>
      <c r="X45" s="2368"/>
      <c r="Y45" s="2368"/>
      <c r="Z45" s="2369"/>
      <c r="AA45" s="2980" t="str">
        <f t="shared" si="33"/>
        <v>Hallertauer ("Pacific")</v>
      </c>
      <c r="AB45" s="1867"/>
      <c r="AC45" s="358">
        <f t="shared" ref="AC45:AO49" si="39">$H45*I45</f>
        <v>0</v>
      </c>
      <c r="AD45" s="358">
        <f t="shared" si="39"/>
        <v>0</v>
      </c>
      <c r="AE45" s="358">
        <f t="shared" si="39"/>
        <v>0</v>
      </c>
      <c r="AF45" s="358">
        <f t="shared" si="39"/>
        <v>0</v>
      </c>
      <c r="AG45" s="358">
        <f t="shared" si="39"/>
        <v>0</v>
      </c>
      <c r="AH45" s="358">
        <f t="shared" si="39"/>
        <v>0</v>
      </c>
      <c r="AI45" s="440">
        <f t="shared" si="39"/>
        <v>0</v>
      </c>
      <c r="AJ45" s="358">
        <f t="shared" si="39"/>
        <v>0</v>
      </c>
      <c r="AK45" s="595">
        <f t="shared" si="39"/>
        <v>0</v>
      </c>
      <c r="AL45" s="595">
        <f t="shared" si="39"/>
        <v>0</v>
      </c>
      <c r="AM45" s="595">
        <f t="shared" si="39"/>
        <v>0</v>
      </c>
      <c r="AN45" s="597">
        <f t="shared" si="39"/>
        <v>0</v>
      </c>
      <c r="AO45" s="440">
        <f t="shared" si="39"/>
        <v>0</v>
      </c>
      <c r="AP45" s="598">
        <f t="shared" ref="AP45:AP57" si="40">$H45*V45</f>
        <v>0</v>
      </c>
      <c r="AQ45" s="593">
        <f t="shared" ref="AQ45:AQ57" si="41">$H45*W45</f>
        <v>0</v>
      </c>
      <c r="AR45" s="358">
        <f>$H45*X62</f>
        <v>0</v>
      </c>
      <c r="AS45" s="358">
        <f>$H45*Y62</f>
        <v>0</v>
      </c>
      <c r="AT45" s="358">
        <f>$H45*Z62</f>
        <v>0</v>
      </c>
      <c r="AU45" s="153">
        <f>'Beer Data Sheet'!C70*$C$7/100</f>
        <v>228.75</v>
      </c>
      <c r="AV45" s="415">
        <f t="shared" si="10"/>
        <v>0.75</v>
      </c>
      <c r="AW45" s="527">
        <f>'Beer Data Sheet'!G70</f>
        <v>2.13</v>
      </c>
      <c r="AX45" s="527">
        <f t="shared" si="11"/>
        <v>0</v>
      </c>
      <c r="AY45" s="441">
        <f>AX45*$AV45</f>
        <v>0</v>
      </c>
      <c r="AZ45" s="358">
        <f t="shared" si="13"/>
        <v>0</v>
      </c>
      <c r="BA45" s="873"/>
      <c r="BB45" s="873"/>
      <c r="BC45" s="873"/>
      <c r="BD45" s="3251"/>
      <c r="BE45" s="3251"/>
      <c r="BF45" s="416"/>
      <c r="BG45" s="107"/>
      <c r="BH45" s="107"/>
      <c r="BI45" s="107"/>
      <c r="BJ45" s="107"/>
      <c r="BK45" s="329"/>
      <c r="BL45" s="329"/>
      <c r="BM45" s="329"/>
      <c r="BN45" s="329"/>
      <c r="BO45" s="329"/>
      <c r="BP45" s="329"/>
      <c r="BQ45" s="329"/>
      <c r="BR45" s="329"/>
      <c r="BS45" s="329"/>
      <c r="BT45" s="329"/>
      <c r="BU45" s="329"/>
      <c r="BV45" s="329"/>
      <c r="BW45" s="329"/>
      <c r="BX45" s="329"/>
      <c r="BY45" s="329"/>
      <c r="BZ45" s="329"/>
      <c r="CA45" s="329"/>
      <c r="CB45" s="329"/>
    </row>
    <row r="46" spans="1:80" ht="15" customHeight="1">
      <c r="A46" s="4895" t="s">
        <v>338</v>
      </c>
      <c r="B46" s="2750" t="str">
        <f>'Beer Data Sheet'!B71</f>
        <v>Extract (LIQUID - light)</v>
      </c>
      <c r="C46" s="2354"/>
      <c r="D46" s="531" t="s">
        <v>40</v>
      </c>
      <c r="E46" s="2149">
        <f>100*IF(C46=0,0,C46/$E$69)</f>
        <v>0</v>
      </c>
      <c r="F46" s="2144">
        <f t="shared" si="9"/>
        <v>0</v>
      </c>
      <c r="G46" s="2686" t="str">
        <f>'Beer Data Sheet'!B21</f>
        <v>Lublin</v>
      </c>
      <c r="H46" s="2687">
        <f>'Beer Data Sheet'!C21</f>
        <v>3</v>
      </c>
      <c r="I46" s="2987"/>
      <c r="J46" s="2368"/>
      <c r="K46" s="2368"/>
      <c r="L46" s="2368"/>
      <c r="M46" s="2368"/>
      <c r="N46" s="2369"/>
      <c r="O46" s="2986">
        <f t="shared" si="34"/>
        <v>0</v>
      </c>
      <c r="P46" s="2128">
        <f t="shared" si="34"/>
        <v>0</v>
      </c>
      <c r="Q46" s="2128">
        <f t="shared" si="35"/>
        <v>0</v>
      </c>
      <c r="R46" s="2128">
        <f t="shared" si="35"/>
        <v>0</v>
      </c>
      <c r="S46" s="2128">
        <f t="shared" si="35"/>
        <v>0</v>
      </c>
      <c r="T46" s="2366">
        <f t="shared" si="35"/>
        <v>0</v>
      </c>
      <c r="U46" s="2988"/>
      <c r="V46" s="2368"/>
      <c r="W46" s="2368"/>
      <c r="X46" s="2368"/>
      <c r="Y46" s="2368"/>
      <c r="Z46" s="2369"/>
      <c r="AA46" s="2980" t="str">
        <f t="shared" si="33"/>
        <v>Lublin</v>
      </c>
      <c r="AB46" s="1867"/>
      <c r="AC46" s="358">
        <f t="shared" si="39"/>
        <v>0</v>
      </c>
      <c r="AD46" s="358">
        <f t="shared" si="39"/>
        <v>0</v>
      </c>
      <c r="AE46" s="358">
        <f t="shared" si="39"/>
        <v>0</v>
      </c>
      <c r="AF46" s="358">
        <f t="shared" si="39"/>
        <v>0</v>
      </c>
      <c r="AG46" s="358">
        <f t="shared" si="39"/>
        <v>0</v>
      </c>
      <c r="AH46" s="358">
        <f t="shared" si="39"/>
        <v>0</v>
      </c>
      <c r="AI46" s="440">
        <f t="shared" si="39"/>
        <v>0</v>
      </c>
      <c r="AJ46" s="358">
        <f t="shared" si="39"/>
        <v>0</v>
      </c>
      <c r="AK46" s="595">
        <f t="shared" si="39"/>
        <v>0</v>
      </c>
      <c r="AL46" s="595">
        <f t="shared" si="39"/>
        <v>0</v>
      </c>
      <c r="AM46" s="595">
        <f t="shared" si="39"/>
        <v>0</v>
      </c>
      <c r="AN46" s="597">
        <f t="shared" si="39"/>
        <v>0</v>
      </c>
      <c r="AO46" s="440">
        <f t="shared" si="39"/>
        <v>0</v>
      </c>
      <c r="AP46" s="598">
        <f t="shared" si="40"/>
        <v>0</v>
      </c>
      <c r="AQ46" s="593">
        <f t="shared" si="41"/>
        <v>0</v>
      </c>
      <c r="AR46" s="358">
        <f t="shared" ref="AR46:AT48" si="42">$H46*X46</f>
        <v>0</v>
      </c>
      <c r="AS46" s="358">
        <f t="shared" si="42"/>
        <v>0</v>
      </c>
      <c r="AT46" s="358">
        <f t="shared" si="42"/>
        <v>0</v>
      </c>
      <c r="AU46" s="532">
        <f>'Beer Data Sheet'!C71</f>
        <v>310</v>
      </c>
      <c r="AV46" s="415">
        <f t="shared" si="10"/>
        <v>0.75</v>
      </c>
      <c r="AW46" s="527">
        <f>'Beer Data Sheet'!G71</f>
        <v>10</v>
      </c>
      <c r="AX46" s="527">
        <f t="shared" si="11"/>
        <v>0</v>
      </c>
      <c r="AY46" s="441">
        <f>AX46*$AV46</f>
        <v>0</v>
      </c>
      <c r="AZ46" s="358">
        <f t="shared" si="13"/>
        <v>0</v>
      </c>
      <c r="BA46" s="4824" t="s">
        <v>123</v>
      </c>
      <c r="BB46" s="4824"/>
      <c r="BC46" s="4824"/>
      <c r="BD46" s="416"/>
      <c r="BE46" s="416"/>
      <c r="BF46" s="416"/>
      <c r="BG46" s="107"/>
      <c r="BH46" s="107"/>
      <c r="BI46" s="107"/>
      <c r="BJ46" s="107"/>
      <c r="BK46" s="329"/>
      <c r="BL46" s="329"/>
      <c r="BM46" s="329"/>
      <c r="BN46" s="329"/>
      <c r="BO46" s="329"/>
      <c r="BP46" s="329"/>
      <c r="BQ46" s="329"/>
      <c r="BR46" s="329"/>
      <c r="BS46" s="329"/>
      <c r="BT46" s="329"/>
      <c r="BU46" s="329"/>
      <c r="BV46" s="329"/>
      <c r="BW46" s="329"/>
      <c r="BX46" s="329"/>
      <c r="BY46" s="329"/>
      <c r="BZ46" s="329"/>
      <c r="CA46" s="329"/>
      <c r="CB46" s="329"/>
    </row>
    <row r="47" spans="1:80" ht="15" customHeight="1">
      <c r="A47" s="4896"/>
      <c r="B47" s="2750" t="str">
        <f>'Beer Data Sheet'!B72</f>
        <v>Extract (DRY - light)</v>
      </c>
      <c r="C47" s="2354"/>
      <c r="D47" s="531" t="s">
        <v>40</v>
      </c>
      <c r="E47" s="2149">
        <f>100*IF(C47=0,0,C47/$E$69)</f>
        <v>0</v>
      </c>
      <c r="F47" s="2144">
        <f t="shared" si="9"/>
        <v>0</v>
      </c>
      <c r="G47" s="2686" t="str">
        <f>'Beer Data Sheet'!B22</f>
        <v>Magnum</v>
      </c>
      <c r="H47" s="2687">
        <f>'Beer Data Sheet'!C22</f>
        <v>13</v>
      </c>
      <c r="I47" s="2987"/>
      <c r="J47" s="2368"/>
      <c r="K47" s="2368"/>
      <c r="L47" s="2368"/>
      <c r="M47" s="2368"/>
      <c r="N47" s="2369"/>
      <c r="O47" s="2986">
        <f t="shared" si="34"/>
        <v>0</v>
      </c>
      <c r="P47" s="2128">
        <f t="shared" si="34"/>
        <v>0</v>
      </c>
      <c r="Q47" s="2128">
        <f t="shared" si="35"/>
        <v>0</v>
      </c>
      <c r="R47" s="2128">
        <f t="shared" si="35"/>
        <v>0</v>
      </c>
      <c r="S47" s="2128">
        <f t="shared" si="35"/>
        <v>0</v>
      </c>
      <c r="T47" s="2366">
        <f t="shared" si="35"/>
        <v>0</v>
      </c>
      <c r="U47" s="2988"/>
      <c r="V47" s="2368"/>
      <c r="W47" s="2368"/>
      <c r="X47" s="2368"/>
      <c r="Y47" s="2368"/>
      <c r="Z47" s="2369"/>
      <c r="AA47" s="2979" t="str">
        <f t="shared" si="33"/>
        <v>Magnum</v>
      </c>
      <c r="AB47" s="1865"/>
      <c r="AC47" s="358">
        <f t="shared" si="39"/>
        <v>0</v>
      </c>
      <c r="AD47" s="358">
        <f t="shared" si="39"/>
        <v>0</v>
      </c>
      <c r="AE47" s="358">
        <f t="shared" si="39"/>
        <v>0</v>
      </c>
      <c r="AF47" s="358">
        <f t="shared" si="39"/>
        <v>0</v>
      </c>
      <c r="AG47" s="358">
        <f t="shared" si="39"/>
        <v>0</v>
      </c>
      <c r="AH47" s="358">
        <f t="shared" si="39"/>
        <v>0</v>
      </c>
      <c r="AI47" s="440">
        <f t="shared" si="39"/>
        <v>0</v>
      </c>
      <c r="AJ47" s="358">
        <f t="shared" si="39"/>
        <v>0</v>
      </c>
      <c r="AK47" s="595">
        <f t="shared" si="39"/>
        <v>0</v>
      </c>
      <c r="AL47" s="595">
        <f t="shared" si="39"/>
        <v>0</v>
      </c>
      <c r="AM47" s="595">
        <f t="shared" si="39"/>
        <v>0</v>
      </c>
      <c r="AN47" s="597">
        <f t="shared" si="39"/>
        <v>0</v>
      </c>
      <c r="AO47" s="440">
        <f t="shared" si="39"/>
        <v>0</v>
      </c>
      <c r="AP47" s="598">
        <f t="shared" si="40"/>
        <v>0</v>
      </c>
      <c r="AQ47" s="593">
        <f t="shared" si="41"/>
        <v>0</v>
      </c>
      <c r="AR47" s="358">
        <f t="shared" si="42"/>
        <v>0</v>
      </c>
      <c r="AS47" s="358">
        <f t="shared" si="42"/>
        <v>0</v>
      </c>
      <c r="AT47" s="358">
        <f t="shared" si="42"/>
        <v>0</v>
      </c>
      <c r="AU47" s="532">
        <f>'Beer Data Sheet'!C72</f>
        <v>365</v>
      </c>
      <c r="AV47" s="415">
        <f t="shared" si="10"/>
        <v>0.75</v>
      </c>
      <c r="AW47" s="527">
        <f>'Beer Data Sheet'!G72</f>
        <v>11</v>
      </c>
      <c r="AX47" s="527">
        <f t="shared" si="11"/>
        <v>0</v>
      </c>
      <c r="AY47" s="441">
        <f>AX47*$AV47</f>
        <v>0</v>
      </c>
      <c r="AZ47" s="358">
        <f t="shared" si="13"/>
        <v>0</v>
      </c>
      <c r="BA47" s="996" t="s">
        <v>61</v>
      </c>
      <c r="BB47" s="2497" t="s">
        <v>865</v>
      </c>
      <c r="BC47" s="4640" t="s">
        <v>1844</v>
      </c>
      <c r="BD47" s="4692"/>
      <c r="BE47" s="3259" t="s">
        <v>676</v>
      </c>
      <c r="BF47" s="416"/>
      <c r="BG47" s="107"/>
      <c r="BH47" s="107"/>
      <c r="BI47" s="107"/>
      <c r="BJ47" s="107"/>
      <c r="BK47" s="329"/>
      <c r="BL47" s="329"/>
      <c r="BM47" s="329"/>
      <c r="BN47" s="329"/>
      <c r="BO47" s="329"/>
      <c r="BP47" s="329"/>
      <c r="BQ47" s="329"/>
      <c r="BR47" s="329"/>
      <c r="BS47" s="329"/>
      <c r="BT47" s="329"/>
      <c r="BU47" s="329"/>
      <c r="BV47" s="329"/>
      <c r="BW47" s="329"/>
      <c r="BX47" s="329"/>
      <c r="BY47" s="329"/>
      <c r="BZ47" s="329"/>
      <c r="CA47" s="329"/>
      <c r="CB47" s="329"/>
    </row>
    <row r="48" spans="1:80" ht="15" customHeight="1">
      <c r="A48" s="4897"/>
      <c r="B48" s="2750" t="str">
        <f>'Beer Data Sheet'!B73</f>
        <v>Extract (DRY - wheat)</v>
      </c>
      <c r="C48" s="2354"/>
      <c r="D48" s="531" t="s">
        <v>40</v>
      </c>
      <c r="E48" s="2149">
        <f t="shared" ref="E48:E62" si="43">100*IF(C48=0,0,C48/$E$69)</f>
        <v>0</v>
      </c>
      <c r="F48" s="2144">
        <f t="shared" si="9"/>
        <v>0</v>
      </c>
      <c r="G48" s="2686" t="str">
        <f>'Beer Data Sheet'!B23</f>
        <v>Marynka</v>
      </c>
      <c r="H48" s="2687">
        <f>'Beer Data Sheet'!C23</f>
        <v>10.5</v>
      </c>
      <c r="I48" s="2987"/>
      <c r="J48" s="2368"/>
      <c r="K48" s="2368"/>
      <c r="L48" s="2368"/>
      <c r="M48" s="2368"/>
      <c r="N48" s="2369"/>
      <c r="O48" s="2986">
        <f t="shared" si="34"/>
        <v>0</v>
      </c>
      <c r="P48" s="2128">
        <f t="shared" si="34"/>
        <v>0</v>
      </c>
      <c r="Q48" s="2128">
        <f t="shared" si="35"/>
        <v>0</v>
      </c>
      <c r="R48" s="2128">
        <f t="shared" si="35"/>
        <v>0</v>
      </c>
      <c r="S48" s="2128">
        <f t="shared" si="35"/>
        <v>0</v>
      </c>
      <c r="T48" s="2366">
        <f t="shared" si="35"/>
        <v>0</v>
      </c>
      <c r="U48" s="2988"/>
      <c r="V48" s="2368"/>
      <c r="W48" s="2368"/>
      <c r="X48" s="2368"/>
      <c r="Y48" s="2368"/>
      <c r="Z48" s="2369"/>
      <c r="AA48" s="2979" t="str">
        <f t="shared" si="33"/>
        <v>Marynka</v>
      </c>
      <c r="AB48" s="1865"/>
      <c r="AC48" s="358">
        <f t="shared" si="39"/>
        <v>0</v>
      </c>
      <c r="AD48" s="358">
        <f t="shared" si="39"/>
        <v>0</v>
      </c>
      <c r="AE48" s="358">
        <f t="shared" si="39"/>
        <v>0</v>
      </c>
      <c r="AF48" s="358">
        <f t="shared" si="39"/>
        <v>0</v>
      </c>
      <c r="AG48" s="358">
        <f t="shared" si="39"/>
        <v>0</v>
      </c>
      <c r="AH48" s="358">
        <f t="shared" si="39"/>
        <v>0</v>
      </c>
      <c r="AI48" s="440">
        <f t="shared" si="39"/>
        <v>0</v>
      </c>
      <c r="AJ48" s="358">
        <f t="shared" si="39"/>
        <v>0</v>
      </c>
      <c r="AK48" s="595">
        <f t="shared" si="39"/>
        <v>0</v>
      </c>
      <c r="AL48" s="595">
        <f t="shared" si="39"/>
        <v>0</v>
      </c>
      <c r="AM48" s="595">
        <f t="shared" si="39"/>
        <v>0</v>
      </c>
      <c r="AN48" s="597">
        <f t="shared" si="39"/>
        <v>0</v>
      </c>
      <c r="AO48" s="440">
        <f t="shared" si="39"/>
        <v>0</v>
      </c>
      <c r="AP48" s="598">
        <f t="shared" si="40"/>
        <v>0</v>
      </c>
      <c r="AQ48" s="593">
        <f t="shared" si="41"/>
        <v>0</v>
      </c>
      <c r="AR48" s="358">
        <f t="shared" si="42"/>
        <v>0</v>
      </c>
      <c r="AS48" s="358">
        <f t="shared" si="42"/>
        <v>0</v>
      </c>
      <c r="AT48" s="358">
        <f t="shared" si="42"/>
        <v>0</v>
      </c>
      <c r="AU48" s="532">
        <f>'Beer Data Sheet'!C73</f>
        <v>365</v>
      </c>
      <c r="AV48" s="415">
        <f t="shared" si="10"/>
        <v>0.75</v>
      </c>
      <c r="AW48" s="527">
        <f>'Beer Data Sheet'!G73</f>
        <v>6</v>
      </c>
      <c r="AX48" s="527">
        <f t="shared" si="11"/>
        <v>0</v>
      </c>
      <c r="AY48" s="441">
        <f t="shared" ref="AY48:AY62" si="44">AX48*$AV48</f>
        <v>0</v>
      </c>
      <c r="AZ48" s="358">
        <f t="shared" si="13"/>
        <v>0</v>
      </c>
      <c r="BA48" s="3804">
        <v>1</v>
      </c>
      <c r="BB48" s="2498">
        <f t="shared" ref="BB48:BB53" si="45">16*BE48</f>
        <v>3.5273368606701938E-2</v>
      </c>
      <c r="BC48" s="4642" t="str">
        <f t="shared" ref="BC48:BC53" si="46">INT(BB48/16)&amp;"  lb   "&amp;FIXED(BB48-16*INT(BB48/16),2)&amp;"  oz"</f>
        <v>0  lb   0.04  oz</v>
      </c>
      <c r="BD48" s="4643"/>
      <c r="BE48" s="3284">
        <f t="shared" ref="BE48:BE53" si="47">BA48/(1000*0.4536)</f>
        <v>2.2045855379188711E-3</v>
      </c>
      <c r="BF48" s="416"/>
      <c r="BG48" s="107"/>
      <c r="BH48" s="107"/>
      <c r="BI48" s="107"/>
      <c r="BJ48" s="107"/>
      <c r="BK48" s="329"/>
      <c r="BL48" s="329"/>
      <c r="BM48" s="329"/>
      <c r="BN48" s="329"/>
      <c r="BO48" s="329"/>
      <c r="BP48" s="329"/>
      <c r="BQ48" s="329"/>
      <c r="BR48" s="329"/>
      <c r="BS48" s="329"/>
      <c r="BT48" s="329"/>
      <c r="BU48" s="329"/>
      <c r="BV48" s="329"/>
      <c r="BW48" s="329"/>
      <c r="BX48" s="329"/>
      <c r="BY48" s="329"/>
      <c r="BZ48" s="329"/>
      <c r="CA48" s="329"/>
      <c r="CB48" s="329"/>
    </row>
    <row r="49" spans="1:80" ht="15" customHeight="1">
      <c r="A49" s="4719" t="s">
        <v>128</v>
      </c>
      <c r="B49" s="2751" t="str">
        <f>'Beer Data Sheet'!B74</f>
        <v>Black</v>
      </c>
      <c r="C49" s="2354"/>
      <c r="D49" s="533" t="s">
        <v>40</v>
      </c>
      <c r="E49" s="2149">
        <f t="shared" si="43"/>
        <v>0</v>
      </c>
      <c r="F49" s="2144">
        <f t="shared" si="9"/>
        <v>0</v>
      </c>
      <c r="G49" s="2686" t="str">
        <f>'Beer Data Sheet'!B24</f>
        <v>Mount Hood</v>
      </c>
      <c r="H49" s="2687">
        <f>'Beer Data Sheet'!C24</f>
        <v>5</v>
      </c>
      <c r="I49" s="2987"/>
      <c r="J49" s="2368"/>
      <c r="K49" s="2368"/>
      <c r="L49" s="2368"/>
      <c r="M49" s="2368"/>
      <c r="N49" s="2369"/>
      <c r="O49" s="2986">
        <f t="shared" ref="O49:P63" si="48">I49</f>
        <v>0</v>
      </c>
      <c r="P49" s="2128">
        <f t="shared" si="48"/>
        <v>0</v>
      </c>
      <c r="Q49" s="2128">
        <f t="shared" si="35"/>
        <v>0</v>
      </c>
      <c r="R49" s="2128">
        <f t="shared" si="35"/>
        <v>0</v>
      </c>
      <c r="S49" s="2128">
        <f t="shared" si="35"/>
        <v>0</v>
      </c>
      <c r="T49" s="2366">
        <f t="shared" si="35"/>
        <v>0</v>
      </c>
      <c r="U49" s="2988"/>
      <c r="V49" s="2368"/>
      <c r="W49" s="2368"/>
      <c r="X49" s="2368"/>
      <c r="Y49" s="2368"/>
      <c r="Z49" s="2369"/>
      <c r="AA49" s="2979" t="str">
        <f t="shared" si="33"/>
        <v>Mount Hood</v>
      </c>
      <c r="AB49" s="1865"/>
      <c r="AC49" s="358">
        <f t="shared" si="39"/>
        <v>0</v>
      </c>
      <c r="AD49" s="358">
        <f t="shared" si="39"/>
        <v>0</v>
      </c>
      <c r="AE49" s="358">
        <f t="shared" si="39"/>
        <v>0</v>
      </c>
      <c r="AF49" s="358">
        <f t="shared" si="39"/>
        <v>0</v>
      </c>
      <c r="AG49" s="358">
        <f t="shared" si="39"/>
        <v>0</v>
      </c>
      <c r="AH49" s="358">
        <f t="shared" si="39"/>
        <v>0</v>
      </c>
      <c r="AI49" s="440">
        <f t="shared" si="39"/>
        <v>0</v>
      </c>
      <c r="AJ49" s="358">
        <f t="shared" si="39"/>
        <v>0</v>
      </c>
      <c r="AK49" s="595">
        <f t="shared" si="39"/>
        <v>0</v>
      </c>
      <c r="AL49" s="595">
        <f t="shared" si="39"/>
        <v>0</v>
      </c>
      <c r="AM49" s="595">
        <f t="shared" si="39"/>
        <v>0</v>
      </c>
      <c r="AN49" s="597">
        <f t="shared" si="39"/>
        <v>0</v>
      </c>
      <c r="AO49" s="440">
        <f t="shared" si="39"/>
        <v>0</v>
      </c>
      <c r="AP49" s="598">
        <f t="shared" si="40"/>
        <v>0</v>
      </c>
      <c r="AQ49" s="593">
        <f t="shared" si="41"/>
        <v>0</v>
      </c>
      <c r="AR49" s="358">
        <f>$H49*X49</f>
        <v>0</v>
      </c>
      <c r="AS49" s="358">
        <f t="shared" ref="AO49:AT57" si="49">$H49*Y49</f>
        <v>0</v>
      </c>
      <c r="AT49" s="358">
        <f t="shared" si="49"/>
        <v>0</v>
      </c>
      <c r="AU49" s="153">
        <f>'Beer Data Sheet'!C74*$C$7/100</f>
        <v>198.75</v>
      </c>
      <c r="AV49" s="415">
        <f t="shared" si="10"/>
        <v>0.75</v>
      </c>
      <c r="AW49" s="527">
        <f>'Beer Data Sheet'!G74</f>
        <v>908.8</v>
      </c>
      <c r="AX49" s="527">
        <f t="shared" si="11"/>
        <v>0</v>
      </c>
      <c r="AY49" s="441">
        <f t="shared" si="44"/>
        <v>0</v>
      </c>
      <c r="AZ49" s="358">
        <f t="shared" si="13"/>
        <v>0</v>
      </c>
      <c r="BA49" s="974">
        <v>35</v>
      </c>
      <c r="BB49" s="2498">
        <f t="shared" si="45"/>
        <v>1.2345679012345678</v>
      </c>
      <c r="BC49" s="4642" t="str">
        <f t="shared" si="46"/>
        <v>0  lb   1.23  oz</v>
      </c>
      <c r="BD49" s="4643"/>
      <c r="BE49" s="3284">
        <f t="shared" si="47"/>
        <v>7.716049382716049E-2</v>
      </c>
      <c r="BF49" s="416"/>
      <c r="BG49" s="107"/>
      <c r="BH49" s="107"/>
      <c r="BI49" s="107"/>
      <c r="BJ49" s="107"/>
      <c r="BK49" s="329"/>
      <c r="BL49" s="329"/>
      <c r="BM49" s="329"/>
      <c r="BN49" s="329"/>
      <c r="BO49" s="329"/>
      <c r="BP49" s="329"/>
      <c r="BQ49" s="329"/>
      <c r="BR49" s="329"/>
      <c r="BS49" s="329"/>
      <c r="BT49" s="329"/>
      <c r="BU49" s="329"/>
      <c r="BV49" s="329"/>
      <c r="BW49" s="329"/>
      <c r="BX49" s="329"/>
      <c r="BY49" s="329"/>
      <c r="BZ49" s="329"/>
      <c r="CA49" s="329"/>
      <c r="CB49" s="329"/>
    </row>
    <row r="50" spans="1:80" ht="15" customHeight="1">
      <c r="A50" s="4720"/>
      <c r="B50" s="2751" t="str">
        <f>'Beer Data Sheet'!B75</f>
        <v>Chocolate</v>
      </c>
      <c r="C50" s="2354"/>
      <c r="D50" s="533" t="s">
        <v>40</v>
      </c>
      <c r="E50" s="2149">
        <f t="shared" si="43"/>
        <v>0</v>
      </c>
      <c r="F50" s="2144">
        <f t="shared" si="9"/>
        <v>0</v>
      </c>
      <c r="G50" s="2686" t="str">
        <f>'Beer Data Sheet'!B25</f>
        <v>Northdown</v>
      </c>
      <c r="H50" s="2687">
        <f>'Beer Data Sheet'!C25</f>
        <v>8</v>
      </c>
      <c r="I50" s="2987"/>
      <c r="J50" s="2368"/>
      <c r="K50" s="2368"/>
      <c r="L50" s="2368"/>
      <c r="M50" s="2368"/>
      <c r="N50" s="2369"/>
      <c r="O50" s="2986">
        <f t="shared" si="48"/>
        <v>0</v>
      </c>
      <c r="P50" s="2128">
        <f t="shared" si="48"/>
        <v>0</v>
      </c>
      <c r="Q50" s="2128">
        <f t="shared" si="35"/>
        <v>0</v>
      </c>
      <c r="R50" s="2128">
        <f t="shared" si="35"/>
        <v>0</v>
      </c>
      <c r="S50" s="2128">
        <f t="shared" si="35"/>
        <v>0</v>
      </c>
      <c r="T50" s="2366">
        <f t="shared" si="35"/>
        <v>0</v>
      </c>
      <c r="U50" s="2988"/>
      <c r="V50" s="2368"/>
      <c r="W50" s="2368"/>
      <c r="X50" s="2368"/>
      <c r="Y50" s="2368"/>
      <c r="Z50" s="2369"/>
      <c r="AA50" s="2979" t="str">
        <f t="shared" si="33"/>
        <v>Northdown</v>
      </c>
      <c r="AB50" s="1865"/>
      <c r="AC50" s="358">
        <f t="shared" ref="AC50:AC55" si="50">$H50*I50</f>
        <v>0</v>
      </c>
      <c r="AD50" s="358">
        <f t="shared" ref="AD50:AD55" si="51">$H50*J50</f>
        <v>0</v>
      </c>
      <c r="AE50" s="358">
        <f t="shared" ref="AE50:AE55" si="52">$H50*K50</f>
        <v>0</v>
      </c>
      <c r="AF50" s="358">
        <f t="shared" ref="AF50:AF55" si="53">$H50*L50</f>
        <v>0</v>
      </c>
      <c r="AG50" s="358">
        <f t="shared" ref="AG50:AG55" si="54">$H50*M50</f>
        <v>0</v>
      </c>
      <c r="AH50" s="358">
        <f t="shared" ref="AH50:AH55" si="55">$H50*N50</f>
        <v>0</v>
      </c>
      <c r="AI50" s="440">
        <f t="shared" ref="AI50:AI62" si="56">$H50*O50</f>
        <v>0</v>
      </c>
      <c r="AJ50" s="358">
        <f t="shared" ref="AJ50:AJ62" si="57">$H50*P50</f>
        <v>0</v>
      </c>
      <c r="AK50" s="595">
        <f t="shared" ref="AK50:AK62" si="58">$H50*Q50</f>
        <v>0</v>
      </c>
      <c r="AL50" s="595">
        <f t="shared" ref="AL50:AL62" si="59">$H50*R50</f>
        <v>0</v>
      </c>
      <c r="AM50" s="595">
        <f t="shared" ref="AM50:AM62" si="60">$H50*S50</f>
        <v>0</v>
      </c>
      <c r="AN50" s="597">
        <f t="shared" ref="AN50:AN62" si="61">$H50*T50</f>
        <v>0</v>
      </c>
      <c r="AO50" s="440">
        <f t="shared" si="49"/>
        <v>0</v>
      </c>
      <c r="AP50" s="598">
        <f t="shared" si="40"/>
        <v>0</v>
      </c>
      <c r="AQ50" s="593">
        <f t="shared" si="41"/>
        <v>0</v>
      </c>
      <c r="AR50" s="358">
        <f t="shared" si="49"/>
        <v>0</v>
      </c>
      <c r="AS50" s="358">
        <f t="shared" si="49"/>
        <v>0</v>
      </c>
      <c r="AT50" s="358">
        <f t="shared" si="49"/>
        <v>0</v>
      </c>
      <c r="AU50" s="153">
        <f>'Beer Data Sheet'!C75*$C$7/100</f>
        <v>198.75</v>
      </c>
      <c r="AV50" s="415">
        <f t="shared" si="10"/>
        <v>0.75</v>
      </c>
      <c r="AW50" s="527">
        <f>'Beer Data Sheet'!G75</f>
        <v>763.2</v>
      </c>
      <c r="AX50" s="527">
        <f t="shared" si="11"/>
        <v>0</v>
      </c>
      <c r="AY50" s="441">
        <f>AX50*$AV50</f>
        <v>0</v>
      </c>
      <c r="AZ50" s="358">
        <f t="shared" si="13"/>
        <v>0</v>
      </c>
      <c r="BA50" s="974">
        <v>50</v>
      </c>
      <c r="BB50" s="2498">
        <f t="shared" si="45"/>
        <v>1.7636684303350969</v>
      </c>
      <c r="BC50" s="4642" t="str">
        <f t="shared" si="46"/>
        <v>0  lb   1.76  oz</v>
      </c>
      <c r="BD50" s="4643"/>
      <c r="BE50" s="3284">
        <f t="shared" si="47"/>
        <v>0.11022927689594356</v>
      </c>
      <c r="BF50" s="416"/>
      <c r="BG50" s="107"/>
      <c r="BH50" s="107"/>
      <c r="BI50" s="107"/>
      <c r="BJ50" s="107"/>
      <c r="BK50" s="329"/>
      <c r="BL50" s="329"/>
      <c r="BM50" s="329"/>
      <c r="BN50" s="329"/>
      <c r="BO50" s="329"/>
      <c r="BP50" s="329"/>
      <c r="BQ50" s="329"/>
      <c r="BR50" s="329"/>
      <c r="BS50" s="329"/>
      <c r="BT50" s="329"/>
      <c r="BU50" s="329"/>
      <c r="BV50" s="329"/>
      <c r="BW50" s="329"/>
      <c r="BX50" s="329"/>
      <c r="BY50" s="329"/>
      <c r="BZ50" s="329"/>
      <c r="CA50" s="329"/>
      <c r="CB50" s="329"/>
    </row>
    <row r="51" spans="1:80" ht="15" customHeight="1">
      <c r="A51" s="4720"/>
      <c r="B51" s="2751" t="str">
        <f>'Beer Data Sheet'!B76</f>
        <v>Crystal (light)</v>
      </c>
      <c r="C51" s="2354">
        <v>400</v>
      </c>
      <c r="D51" s="533" t="s">
        <v>40</v>
      </c>
      <c r="E51" s="2149">
        <f t="shared" si="43"/>
        <v>38.651077398782483</v>
      </c>
      <c r="F51" s="2144">
        <f t="shared" si="9"/>
        <v>32.570287294515289</v>
      </c>
      <c r="G51" s="2686" t="str">
        <f>'Beer Data Sheet'!B26</f>
        <v>Northern Brewer</v>
      </c>
      <c r="H51" s="2687">
        <f>'Beer Data Sheet'!C26</f>
        <v>7.5</v>
      </c>
      <c r="I51" s="2987"/>
      <c r="J51" s="2368"/>
      <c r="K51" s="2368"/>
      <c r="L51" s="2368"/>
      <c r="M51" s="2368"/>
      <c r="N51" s="2369"/>
      <c r="O51" s="2986">
        <f t="shared" si="48"/>
        <v>0</v>
      </c>
      <c r="P51" s="2128">
        <f t="shared" si="48"/>
        <v>0</v>
      </c>
      <c r="Q51" s="2128">
        <f t="shared" si="35"/>
        <v>0</v>
      </c>
      <c r="R51" s="2128">
        <f t="shared" si="35"/>
        <v>0</v>
      </c>
      <c r="S51" s="2128">
        <f t="shared" si="35"/>
        <v>0</v>
      </c>
      <c r="T51" s="2366">
        <f t="shared" si="35"/>
        <v>0</v>
      </c>
      <c r="U51" s="2988"/>
      <c r="V51" s="2368"/>
      <c r="W51" s="2368"/>
      <c r="X51" s="2368"/>
      <c r="Y51" s="2368"/>
      <c r="Z51" s="2369"/>
      <c r="AA51" s="2979" t="str">
        <f t="shared" si="33"/>
        <v>Northern Brewer</v>
      </c>
      <c r="AB51" s="1865"/>
      <c r="AC51" s="358">
        <f t="shared" si="50"/>
        <v>0</v>
      </c>
      <c r="AD51" s="358">
        <f t="shared" si="51"/>
        <v>0</v>
      </c>
      <c r="AE51" s="358">
        <f t="shared" si="52"/>
        <v>0</v>
      </c>
      <c r="AF51" s="358">
        <f t="shared" si="53"/>
        <v>0</v>
      </c>
      <c r="AG51" s="358">
        <f t="shared" si="54"/>
        <v>0</v>
      </c>
      <c r="AH51" s="358">
        <f t="shared" si="55"/>
        <v>0</v>
      </c>
      <c r="AI51" s="440">
        <f t="shared" si="56"/>
        <v>0</v>
      </c>
      <c r="AJ51" s="358">
        <f t="shared" si="57"/>
        <v>0</v>
      </c>
      <c r="AK51" s="595">
        <f t="shared" si="58"/>
        <v>0</v>
      </c>
      <c r="AL51" s="595">
        <f t="shared" si="59"/>
        <v>0</v>
      </c>
      <c r="AM51" s="595">
        <f t="shared" si="60"/>
        <v>0</v>
      </c>
      <c r="AN51" s="597">
        <f t="shared" si="61"/>
        <v>0</v>
      </c>
      <c r="AO51" s="440">
        <f t="shared" si="49"/>
        <v>0</v>
      </c>
      <c r="AP51" s="598">
        <f t="shared" si="40"/>
        <v>0</v>
      </c>
      <c r="AQ51" s="593">
        <f t="shared" si="41"/>
        <v>0</v>
      </c>
      <c r="AR51" s="358">
        <f t="shared" si="49"/>
        <v>0</v>
      </c>
      <c r="AS51" s="358">
        <f t="shared" si="49"/>
        <v>0</v>
      </c>
      <c r="AT51" s="358">
        <f t="shared" si="49"/>
        <v>0</v>
      </c>
      <c r="AU51" s="153">
        <f>'Beer Data Sheet'!C76*$C$7/100</f>
        <v>198.75</v>
      </c>
      <c r="AV51" s="415">
        <f t="shared" si="10"/>
        <v>0.75</v>
      </c>
      <c r="AW51" s="527">
        <f>'Beer Data Sheet'!G76</f>
        <v>77.7</v>
      </c>
      <c r="AX51" s="527">
        <f t="shared" si="11"/>
        <v>79.5</v>
      </c>
      <c r="AY51" s="441">
        <f t="shared" si="44"/>
        <v>59.625</v>
      </c>
      <c r="AZ51" s="358">
        <f t="shared" si="13"/>
        <v>310.8</v>
      </c>
      <c r="BA51" s="586">
        <v>100</v>
      </c>
      <c r="BB51" s="2498">
        <f t="shared" si="45"/>
        <v>3.5273368606701938</v>
      </c>
      <c r="BC51" s="4642" t="str">
        <f t="shared" si="46"/>
        <v>0  lb   3.53  oz</v>
      </c>
      <c r="BD51" s="4643"/>
      <c r="BE51" s="3284">
        <f t="shared" si="47"/>
        <v>0.22045855379188711</v>
      </c>
      <c r="BF51" s="416"/>
      <c r="BG51" s="107"/>
      <c r="BH51" s="107"/>
      <c r="BI51" s="107"/>
      <c r="BJ51" s="107"/>
      <c r="BK51" s="329"/>
      <c r="BL51" s="329"/>
      <c r="BM51" s="329"/>
      <c r="BN51" s="329"/>
      <c r="BO51" s="329"/>
      <c r="BP51" s="329"/>
      <c r="BQ51" s="329"/>
      <c r="BR51" s="329"/>
      <c r="BS51" s="329"/>
      <c r="BT51" s="329"/>
      <c r="BU51" s="329"/>
      <c r="BV51" s="329"/>
      <c r="BW51" s="329"/>
      <c r="BX51" s="329"/>
      <c r="BY51" s="329"/>
      <c r="BZ51" s="329"/>
      <c r="CA51" s="329"/>
      <c r="CB51" s="329"/>
    </row>
    <row r="52" spans="1:80" ht="15" customHeight="1">
      <c r="A52" s="4720"/>
      <c r="B52" s="2751" t="str">
        <f>'Beer Data Sheet'!B77</f>
        <v>Crystal (medium)</v>
      </c>
      <c r="C52" s="2354"/>
      <c r="D52" s="533" t="s">
        <v>40</v>
      </c>
      <c r="E52" s="2149">
        <f t="shared" si="43"/>
        <v>0</v>
      </c>
      <c r="F52" s="2144">
        <f t="shared" si="9"/>
        <v>0</v>
      </c>
      <c r="G52" s="2686" t="str">
        <f>'Beer Data Sheet'!B27</f>
        <v>Perle</v>
      </c>
      <c r="H52" s="2687">
        <f>'Beer Data Sheet'!C27</f>
        <v>8</v>
      </c>
      <c r="I52" s="2987"/>
      <c r="J52" s="2368"/>
      <c r="K52" s="2368"/>
      <c r="L52" s="2368"/>
      <c r="M52" s="2368"/>
      <c r="N52" s="2369"/>
      <c r="O52" s="2986">
        <f t="shared" si="48"/>
        <v>0</v>
      </c>
      <c r="P52" s="2128">
        <f t="shared" si="48"/>
        <v>0</v>
      </c>
      <c r="Q52" s="2128">
        <f t="shared" si="35"/>
        <v>0</v>
      </c>
      <c r="R52" s="2128">
        <f t="shared" si="35"/>
        <v>0</v>
      </c>
      <c r="S52" s="2128">
        <f t="shared" si="35"/>
        <v>0</v>
      </c>
      <c r="T52" s="2366">
        <f t="shared" si="35"/>
        <v>0</v>
      </c>
      <c r="U52" s="2988"/>
      <c r="V52" s="2368"/>
      <c r="W52" s="2368"/>
      <c r="X52" s="2368"/>
      <c r="Y52" s="2368"/>
      <c r="Z52" s="2369"/>
      <c r="AA52" s="2979" t="str">
        <f t="shared" si="33"/>
        <v>Perle</v>
      </c>
      <c r="AB52" s="1865"/>
      <c r="AC52" s="358">
        <f t="shared" si="50"/>
        <v>0</v>
      </c>
      <c r="AD52" s="358">
        <f t="shared" si="51"/>
        <v>0</v>
      </c>
      <c r="AE52" s="358">
        <f t="shared" si="52"/>
        <v>0</v>
      </c>
      <c r="AF52" s="358">
        <f t="shared" si="53"/>
        <v>0</v>
      </c>
      <c r="AG52" s="358">
        <f t="shared" si="54"/>
        <v>0</v>
      </c>
      <c r="AH52" s="358">
        <f t="shared" si="55"/>
        <v>0</v>
      </c>
      <c r="AI52" s="440">
        <f t="shared" si="56"/>
        <v>0</v>
      </c>
      <c r="AJ52" s="358">
        <f t="shared" si="57"/>
        <v>0</v>
      </c>
      <c r="AK52" s="595">
        <f t="shared" si="58"/>
        <v>0</v>
      </c>
      <c r="AL52" s="595">
        <f t="shared" si="59"/>
        <v>0</v>
      </c>
      <c r="AM52" s="595">
        <f t="shared" si="60"/>
        <v>0</v>
      </c>
      <c r="AN52" s="597">
        <f t="shared" si="61"/>
        <v>0</v>
      </c>
      <c r="AO52" s="440">
        <f t="shared" si="49"/>
        <v>0</v>
      </c>
      <c r="AP52" s="598">
        <f t="shared" si="40"/>
        <v>0</v>
      </c>
      <c r="AQ52" s="593">
        <f t="shared" si="41"/>
        <v>0</v>
      </c>
      <c r="AR52" s="358">
        <f t="shared" si="49"/>
        <v>0</v>
      </c>
      <c r="AS52" s="358">
        <f t="shared" si="49"/>
        <v>0</v>
      </c>
      <c r="AT52" s="358">
        <f t="shared" si="49"/>
        <v>0</v>
      </c>
      <c r="AU52" s="153">
        <f>'Beer Data Sheet'!C77*$C$7/100</f>
        <v>198.75</v>
      </c>
      <c r="AV52" s="415">
        <f t="shared" si="10"/>
        <v>0.75</v>
      </c>
      <c r="AW52" s="527">
        <f>'Beer Data Sheet'!G77</f>
        <v>103.6</v>
      </c>
      <c r="AX52" s="527">
        <f t="shared" si="11"/>
        <v>0</v>
      </c>
      <c r="AY52" s="441">
        <f t="shared" si="44"/>
        <v>0</v>
      </c>
      <c r="AZ52" s="358">
        <f t="shared" si="13"/>
        <v>0</v>
      </c>
      <c r="BA52" s="586">
        <v>500</v>
      </c>
      <c r="BB52" s="2498">
        <f t="shared" si="45"/>
        <v>17.636684303350968</v>
      </c>
      <c r="BC52" s="4642" t="str">
        <f t="shared" si="46"/>
        <v>1  lb   1.64  oz</v>
      </c>
      <c r="BD52" s="4643"/>
      <c r="BE52" s="3284">
        <f t="shared" si="47"/>
        <v>1.1022927689594355</v>
      </c>
      <c r="BF52" s="416"/>
      <c r="BG52" s="107"/>
      <c r="BH52" s="107"/>
      <c r="BI52" s="107"/>
      <c r="BJ52" s="107"/>
      <c r="BK52" s="329"/>
      <c r="BL52" s="329"/>
      <c r="BM52" s="329"/>
      <c r="BN52" s="329"/>
      <c r="BO52" s="329"/>
      <c r="BP52" s="329"/>
      <c r="BQ52" s="329"/>
      <c r="BR52" s="329"/>
      <c r="BS52" s="329"/>
      <c r="BT52" s="329"/>
      <c r="BU52" s="329"/>
      <c r="BV52" s="329"/>
      <c r="BW52" s="329"/>
      <c r="BX52" s="329"/>
      <c r="BY52" s="329"/>
      <c r="BZ52" s="329"/>
      <c r="CA52" s="329"/>
      <c r="CB52" s="329"/>
    </row>
    <row r="53" spans="1:80" ht="15" customHeight="1">
      <c r="A53" s="4720"/>
      <c r="B53" s="2751" t="str">
        <f>'Beer Data Sheet'!B78</f>
        <v>Crystal (dark)</v>
      </c>
      <c r="C53" s="2354"/>
      <c r="D53" s="533" t="s">
        <v>40</v>
      </c>
      <c r="E53" s="2149">
        <f t="shared" si="43"/>
        <v>0</v>
      </c>
      <c r="F53" s="2144">
        <f t="shared" si="9"/>
        <v>0</v>
      </c>
      <c r="G53" s="2686" t="str">
        <f>'Beer Data Sheet'!B28</f>
        <v>Pioneer</v>
      </c>
      <c r="H53" s="2687">
        <f>'Beer Data Sheet'!C28</f>
        <v>8</v>
      </c>
      <c r="I53" s="2987"/>
      <c r="J53" s="2368"/>
      <c r="K53" s="2368"/>
      <c r="L53" s="2368"/>
      <c r="M53" s="2368"/>
      <c r="N53" s="2369"/>
      <c r="O53" s="2986">
        <f t="shared" si="48"/>
        <v>0</v>
      </c>
      <c r="P53" s="2128">
        <f t="shared" si="48"/>
        <v>0</v>
      </c>
      <c r="Q53" s="2128">
        <f t="shared" si="35"/>
        <v>0</v>
      </c>
      <c r="R53" s="2128">
        <f t="shared" si="35"/>
        <v>0</v>
      </c>
      <c r="S53" s="2128">
        <f t="shared" si="35"/>
        <v>0</v>
      </c>
      <c r="T53" s="2366">
        <f t="shared" si="35"/>
        <v>0</v>
      </c>
      <c r="U53" s="2988"/>
      <c r="V53" s="2368"/>
      <c r="W53" s="2368"/>
      <c r="X53" s="2368"/>
      <c r="Y53" s="2368"/>
      <c r="Z53" s="2369"/>
      <c r="AA53" s="2979" t="str">
        <f t="shared" si="33"/>
        <v>Pioneer</v>
      </c>
      <c r="AB53" s="1865"/>
      <c r="AC53" s="358">
        <f t="shared" si="50"/>
        <v>0</v>
      </c>
      <c r="AD53" s="358">
        <f t="shared" si="51"/>
        <v>0</v>
      </c>
      <c r="AE53" s="358">
        <f t="shared" si="52"/>
        <v>0</v>
      </c>
      <c r="AF53" s="358">
        <f t="shared" si="53"/>
        <v>0</v>
      </c>
      <c r="AG53" s="358">
        <f t="shared" si="54"/>
        <v>0</v>
      </c>
      <c r="AH53" s="358">
        <f t="shared" si="55"/>
        <v>0</v>
      </c>
      <c r="AI53" s="440">
        <f t="shared" si="56"/>
        <v>0</v>
      </c>
      <c r="AJ53" s="358">
        <f t="shared" si="57"/>
        <v>0</v>
      </c>
      <c r="AK53" s="595">
        <f t="shared" si="58"/>
        <v>0</v>
      </c>
      <c r="AL53" s="595">
        <f t="shared" si="59"/>
        <v>0</v>
      </c>
      <c r="AM53" s="595">
        <f t="shared" si="60"/>
        <v>0</v>
      </c>
      <c r="AN53" s="597">
        <f t="shared" si="61"/>
        <v>0</v>
      </c>
      <c r="AO53" s="440">
        <f t="shared" si="49"/>
        <v>0</v>
      </c>
      <c r="AP53" s="598">
        <f t="shared" si="40"/>
        <v>0</v>
      </c>
      <c r="AQ53" s="593">
        <f t="shared" si="41"/>
        <v>0</v>
      </c>
      <c r="AR53" s="358">
        <f t="shared" si="49"/>
        <v>0</v>
      </c>
      <c r="AS53" s="358">
        <f t="shared" si="49"/>
        <v>0</v>
      </c>
      <c r="AT53" s="358">
        <f t="shared" si="49"/>
        <v>0</v>
      </c>
      <c r="AU53" s="153">
        <f>'Beer Data Sheet'!C78*$C$7/100</f>
        <v>198.75</v>
      </c>
      <c r="AV53" s="415">
        <f t="shared" si="10"/>
        <v>0.75</v>
      </c>
      <c r="AW53" s="527">
        <f>'Beer Data Sheet'!G78</f>
        <v>148</v>
      </c>
      <c r="AX53" s="527">
        <f t="shared" si="11"/>
        <v>0</v>
      </c>
      <c r="AY53" s="441">
        <f t="shared" si="44"/>
        <v>0</v>
      </c>
      <c r="AZ53" s="358">
        <f t="shared" si="13"/>
        <v>0</v>
      </c>
      <c r="BA53" s="585">
        <v>10000</v>
      </c>
      <c r="BB53" s="2498">
        <f t="shared" si="45"/>
        <v>352.73368606701939</v>
      </c>
      <c r="BC53" s="4642" t="str">
        <f t="shared" si="46"/>
        <v>22  lb   0.73  oz</v>
      </c>
      <c r="BD53" s="4643"/>
      <c r="BE53" s="3284">
        <f t="shared" si="47"/>
        <v>22.045855379188712</v>
      </c>
      <c r="BF53" s="416"/>
      <c r="BG53" s="107"/>
      <c r="BH53" s="107"/>
      <c r="BI53" s="107"/>
      <c r="BJ53" s="107"/>
      <c r="BK53" s="329"/>
      <c r="BL53" s="329"/>
      <c r="BM53" s="329"/>
      <c r="BN53" s="329"/>
      <c r="BO53" s="329"/>
      <c r="BP53" s="329"/>
      <c r="BQ53" s="329"/>
      <c r="BR53" s="329"/>
      <c r="BS53" s="329"/>
      <c r="BT53" s="329"/>
      <c r="BU53" s="329"/>
      <c r="BV53" s="329"/>
      <c r="BW53" s="329"/>
      <c r="BX53" s="329"/>
      <c r="BY53" s="329"/>
      <c r="BZ53" s="329"/>
      <c r="CA53" s="329"/>
      <c r="CB53" s="329"/>
    </row>
    <row r="54" spans="1:80" ht="15" customHeight="1">
      <c r="A54" s="4720"/>
      <c r="B54" s="2751" t="str">
        <f>'Beer Data Sheet'!B79</f>
        <v>Caramalt</v>
      </c>
      <c r="C54" s="2354"/>
      <c r="D54" s="533" t="s">
        <v>40</v>
      </c>
      <c r="E54" s="2149">
        <f t="shared" si="43"/>
        <v>0</v>
      </c>
      <c r="F54" s="2144">
        <f t="shared" si="9"/>
        <v>0</v>
      </c>
      <c r="G54" s="2686" t="str">
        <f>'Beer Data Sheet'!B29</f>
        <v>Saaz</v>
      </c>
      <c r="H54" s="2687">
        <f>'Beer Data Sheet'!C29</f>
        <v>2.2000000000000002</v>
      </c>
      <c r="I54" s="2987"/>
      <c r="J54" s="2368"/>
      <c r="K54" s="2368"/>
      <c r="L54" s="2368"/>
      <c r="M54" s="2368"/>
      <c r="N54" s="2369"/>
      <c r="O54" s="2986">
        <f t="shared" si="48"/>
        <v>0</v>
      </c>
      <c r="P54" s="2128">
        <f t="shared" si="48"/>
        <v>0</v>
      </c>
      <c r="Q54" s="2128">
        <f t="shared" si="35"/>
        <v>0</v>
      </c>
      <c r="R54" s="2128">
        <f t="shared" si="35"/>
        <v>0</v>
      </c>
      <c r="S54" s="2128">
        <f t="shared" si="35"/>
        <v>0</v>
      </c>
      <c r="T54" s="2366">
        <f t="shared" si="35"/>
        <v>0</v>
      </c>
      <c r="U54" s="2988"/>
      <c r="V54" s="2368"/>
      <c r="W54" s="2368"/>
      <c r="X54" s="2368"/>
      <c r="Y54" s="2368"/>
      <c r="Z54" s="2369"/>
      <c r="AA54" s="2979" t="str">
        <f t="shared" si="33"/>
        <v>Saaz</v>
      </c>
      <c r="AB54" s="416"/>
      <c r="AC54" s="358">
        <f t="shared" ref="AC54:AT54" si="62">$H54*I54</f>
        <v>0</v>
      </c>
      <c r="AD54" s="358">
        <f t="shared" si="62"/>
        <v>0</v>
      </c>
      <c r="AE54" s="358">
        <f t="shared" si="62"/>
        <v>0</v>
      </c>
      <c r="AF54" s="358">
        <f t="shared" si="62"/>
        <v>0</v>
      </c>
      <c r="AG54" s="358">
        <f t="shared" si="62"/>
        <v>0</v>
      </c>
      <c r="AH54" s="358">
        <f t="shared" si="62"/>
        <v>0</v>
      </c>
      <c r="AI54" s="440">
        <f t="shared" si="62"/>
        <v>0</v>
      </c>
      <c r="AJ54" s="358">
        <f t="shared" si="62"/>
        <v>0</v>
      </c>
      <c r="AK54" s="595">
        <f t="shared" si="62"/>
        <v>0</v>
      </c>
      <c r="AL54" s="595">
        <f t="shared" si="62"/>
        <v>0</v>
      </c>
      <c r="AM54" s="595">
        <f t="shared" si="62"/>
        <v>0</v>
      </c>
      <c r="AN54" s="597">
        <f t="shared" si="62"/>
        <v>0</v>
      </c>
      <c r="AO54" s="440">
        <f t="shared" si="62"/>
        <v>0</v>
      </c>
      <c r="AP54" s="598">
        <f t="shared" si="62"/>
        <v>0</v>
      </c>
      <c r="AQ54" s="593">
        <f t="shared" si="62"/>
        <v>0</v>
      </c>
      <c r="AR54" s="358">
        <f t="shared" si="62"/>
        <v>0</v>
      </c>
      <c r="AS54" s="358">
        <f t="shared" si="62"/>
        <v>0</v>
      </c>
      <c r="AT54" s="358">
        <f t="shared" si="62"/>
        <v>0</v>
      </c>
      <c r="AU54" s="153">
        <f>'Beer Data Sheet'!C79*$C$7/100</f>
        <v>198.75</v>
      </c>
      <c r="AV54" s="415">
        <f>C$72/100</f>
        <v>0.75</v>
      </c>
      <c r="AW54" s="527">
        <f>'Beer Data Sheet'!G79</f>
        <v>17.75</v>
      </c>
      <c r="AX54" s="527">
        <f>0.001*AU54*C54</f>
        <v>0</v>
      </c>
      <c r="AY54" s="441">
        <f>AX54*$AV54</f>
        <v>0</v>
      </c>
      <c r="AZ54" s="358">
        <f>0.01*AW54*C54</f>
        <v>0</v>
      </c>
      <c r="BA54" s="416"/>
      <c r="BB54" s="416"/>
      <c r="BC54" s="416"/>
      <c r="BD54" s="416"/>
      <c r="BE54" s="416"/>
      <c r="BF54" s="416"/>
      <c r="BG54" s="107"/>
      <c r="BH54" s="107"/>
      <c r="BI54" s="107"/>
      <c r="BJ54" s="107"/>
      <c r="BK54" s="329"/>
      <c r="BL54" s="329"/>
      <c r="BM54" s="329"/>
      <c r="BN54" s="329"/>
      <c r="BO54" s="329"/>
      <c r="BP54" s="329"/>
      <c r="BQ54" s="329"/>
      <c r="BR54" s="329"/>
      <c r="BS54" s="329"/>
      <c r="BT54" s="329"/>
      <c r="BU54" s="329"/>
      <c r="BV54" s="329"/>
      <c r="BW54" s="329"/>
      <c r="BX54" s="329"/>
      <c r="BY54" s="329"/>
      <c r="BZ54" s="329"/>
      <c r="CA54" s="329"/>
      <c r="CB54" s="329"/>
    </row>
    <row r="55" spans="1:80" ht="15" customHeight="1">
      <c r="A55" s="4720"/>
      <c r="B55" s="2751" t="str">
        <f>'Beer Data Sheet'!B80</f>
        <v>Caramalt Light)</v>
      </c>
      <c r="C55" s="2354"/>
      <c r="D55" s="533" t="s">
        <v>40</v>
      </c>
      <c r="E55" s="2149">
        <f t="shared" si="43"/>
        <v>0</v>
      </c>
      <c r="F55" s="2144">
        <f t="shared" si="9"/>
        <v>0</v>
      </c>
      <c r="G55" s="2686" t="str">
        <f>'Beer Data Sheet'!B30</f>
        <v>Styrian Goldings</v>
      </c>
      <c r="H55" s="2687">
        <f>'Beer Data Sheet'!C30</f>
        <v>5.5</v>
      </c>
      <c r="I55" s="2987"/>
      <c r="J55" s="2368"/>
      <c r="K55" s="2368"/>
      <c r="L55" s="2368"/>
      <c r="M55" s="2368"/>
      <c r="N55" s="2369"/>
      <c r="O55" s="2986">
        <f t="shared" si="48"/>
        <v>0</v>
      </c>
      <c r="P55" s="2128">
        <f t="shared" si="48"/>
        <v>0</v>
      </c>
      <c r="Q55" s="2128">
        <f t="shared" si="35"/>
        <v>0</v>
      </c>
      <c r="R55" s="2128">
        <f t="shared" si="35"/>
        <v>0</v>
      </c>
      <c r="S55" s="2128">
        <f t="shared" si="35"/>
        <v>0</v>
      </c>
      <c r="T55" s="2366">
        <f t="shared" si="35"/>
        <v>0</v>
      </c>
      <c r="U55" s="2988"/>
      <c r="V55" s="2368"/>
      <c r="W55" s="2368"/>
      <c r="X55" s="2368"/>
      <c r="Y55" s="2368"/>
      <c r="Z55" s="2369"/>
      <c r="AA55" s="2979" t="str">
        <f t="shared" si="33"/>
        <v>Styrian Goldings</v>
      </c>
      <c r="AB55" s="1865"/>
      <c r="AC55" s="358">
        <f t="shared" si="50"/>
        <v>0</v>
      </c>
      <c r="AD55" s="358">
        <f t="shared" si="51"/>
        <v>0</v>
      </c>
      <c r="AE55" s="358">
        <f t="shared" si="52"/>
        <v>0</v>
      </c>
      <c r="AF55" s="358">
        <f t="shared" si="53"/>
        <v>0</v>
      </c>
      <c r="AG55" s="358">
        <f t="shared" si="54"/>
        <v>0</v>
      </c>
      <c r="AH55" s="358">
        <f t="shared" si="55"/>
        <v>0</v>
      </c>
      <c r="AI55" s="440">
        <f t="shared" si="56"/>
        <v>0</v>
      </c>
      <c r="AJ55" s="358">
        <f t="shared" si="57"/>
        <v>0</v>
      </c>
      <c r="AK55" s="595">
        <f t="shared" si="58"/>
        <v>0</v>
      </c>
      <c r="AL55" s="595">
        <f t="shared" si="59"/>
        <v>0</v>
      </c>
      <c r="AM55" s="595">
        <f t="shared" si="60"/>
        <v>0</v>
      </c>
      <c r="AN55" s="597">
        <f t="shared" si="61"/>
        <v>0</v>
      </c>
      <c r="AO55" s="440">
        <f t="shared" si="49"/>
        <v>0</v>
      </c>
      <c r="AP55" s="598">
        <f t="shared" si="40"/>
        <v>0</v>
      </c>
      <c r="AQ55" s="593">
        <f t="shared" si="41"/>
        <v>0</v>
      </c>
      <c r="AR55" s="358">
        <f t="shared" si="49"/>
        <v>0</v>
      </c>
      <c r="AS55" s="358">
        <f t="shared" si="49"/>
        <v>0</v>
      </c>
      <c r="AT55" s="358">
        <f>$H55*Z55</f>
        <v>0</v>
      </c>
      <c r="AU55" s="153">
        <f>'Beer Data Sheet'!C80*$C$7/100</f>
        <v>198.75</v>
      </c>
      <c r="AV55" s="415">
        <f>C$72/100</f>
        <v>0.75</v>
      </c>
      <c r="AW55" s="527">
        <f>'Beer Data Sheet'!G80</f>
        <v>8.52</v>
      </c>
      <c r="AX55" s="527">
        <f>0.001*AU55*C55</f>
        <v>0</v>
      </c>
      <c r="AY55" s="441">
        <f>AX55*$AV55</f>
        <v>0</v>
      </c>
      <c r="AZ55" s="358">
        <f>0.01*AW55*C55</f>
        <v>0</v>
      </c>
      <c r="BA55" s="562" t="s">
        <v>126</v>
      </c>
      <c r="BB55" s="2495" t="s">
        <v>125</v>
      </c>
      <c r="BC55" s="2864" t="s">
        <v>125</v>
      </c>
      <c r="BD55" s="2862" t="s">
        <v>61</v>
      </c>
      <c r="BE55" s="3251"/>
      <c r="BF55" s="416"/>
      <c r="BG55" s="107"/>
      <c r="BH55" s="107"/>
      <c r="BI55" s="107"/>
      <c r="BJ55" s="107"/>
      <c r="BK55" s="329"/>
      <c r="BL55" s="329"/>
      <c r="BM55" s="329"/>
      <c r="BN55" s="329"/>
      <c r="BO55" s="329"/>
      <c r="BP55" s="329"/>
      <c r="BQ55" s="329"/>
      <c r="BR55" s="329"/>
      <c r="BS55" s="329"/>
      <c r="BT55" s="329"/>
      <c r="BU55" s="329"/>
      <c r="BV55" s="329"/>
      <c r="BW55" s="329"/>
      <c r="BX55" s="329"/>
      <c r="BY55" s="329"/>
      <c r="BZ55" s="329"/>
      <c r="CA55" s="329"/>
      <c r="CB55" s="329"/>
    </row>
    <row r="56" spans="1:80" ht="15" customHeight="1">
      <c r="A56" s="4720"/>
      <c r="B56" s="2751" t="str">
        <f>'Beer Data Sheet'!B81</f>
        <v>Carapils</v>
      </c>
      <c r="C56" s="2354"/>
      <c r="D56" s="533" t="s">
        <v>40</v>
      </c>
      <c r="E56" s="2149">
        <f t="shared" si="43"/>
        <v>0</v>
      </c>
      <c r="F56" s="2144">
        <f t="shared" si="9"/>
        <v>0</v>
      </c>
      <c r="G56" s="2686" t="str">
        <f>'Beer Data Sheet'!B31</f>
        <v>Target</v>
      </c>
      <c r="H56" s="2687">
        <f>'Beer Data Sheet'!C31</f>
        <v>11.2</v>
      </c>
      <c r="I56" s="2987"/>
      <c r="J56" s="2368"/>
      <c r="K56" s="2368"/>
      <c r="L56" s="2368"/>
      <c r="M56" s="2368"/>
      <c r="N56" s="2369"/>
      <c r="O56" s="2986">
        <f t="shared" si="48"/>
        <v>0</v>
      </c>
      <c r="P56" s="2128">
        <f t="shared" si="48"/>
        <v>0</v>
      </c>
      <c r="Q56" s="2128">
        <f t="shared" si="35"/>
        <v>0</v>
      </c>
      <c r="R56" s="2128">
        <f t="shared" si="35"/>
        <v>0</v>
      </c>
      <c r="S56" s="2128">
        <f t="shared" si="35"/>
        <v>0</v>
      </c>
      <c r="T56" s="2366">
        <f t="shared" si="35"/>
        <v>0</v>
      </c>
      <c r="U56" s="2988"/>
      <c r="V56" s="2368"/>
      <c r="W56" s="2368"/>
      <c r="X56" s="2368"/>
      <c r="Y56" s="2368"/>
      <c r="Z56" s="2369"/>
      <c r="AA56" s="2979" t="str">
        <f t="shared" si="33"/>
        <v>Target</v>
      </c>
      <c r="AB56" s="1865"/>
      <c r="AC56" s="358">
        <f t="shared" ref="AC56:AC63" si="63">$H56*I56</f>
        <v>0</v>
      </c>
      <c r="AD56" s="358">
        <f t="shared" ref="AD56:AD63" si="64">$H56*J56</f>
        <v>0</v>
      </c>
      <c r="AE56" s="358">
        <f t="shared" ref="AE56:AE63" si="65">$H56*K56</f>
        <v>0</v>
      </c>
      <c r="AF56" s="358">
        <f t="shared" ref="AF56:AF63" si="66">$H56*L56</f>
        <v>0</v>
      </c>
      <c r="AG56" s="358">
        <f t="shared" ref="AG56:AG63" si="67">$H56*M56</f>
        <v>0</v>
      </c>
      <c r="AH56" s="358">
        <f t="shared" ref="AH56:AH63" si="68">$H56*N56</f>
        <v>0</v>
      </c>
      <c r="AI56" s="440">
        <f t="shared" si="56"/>
        <v>0</v>
      </c>
      <c r="AJ56" s="358">
        <f t="shared" si="57"/>
        <v>0</v>
      </c>
      <c r="AK56" s="595">
        <f t="shared" si="58"/>
        <v>0</v>
      </c>
      <c r="AL56" s="595">
        <f t="shared" si="59"/>
        <v>0</v>
      </c>
      <c r="AM56" s="595">
        <f t="shared" si="60"/>
        <v>0</v>
      </c>
      <c r="AN56" s="597">
        <f t="shared" si="61"/>
        <v>0</v>
      </c>
      <c r="AO56" s="440">
        <f t="shared" si="49"/>
        <v>0</v>
      </c>
      <c r="AP56" s="598">
        <f t="shared" si="40"/>
        <v>0</v>
      </c>
      <c r="AQ56" s="593">
        <f t="shared" si="41"/>
        <v>0</v>
      </c>
      <c r="AR56" s="358">
        <f t="shared" si="49"/>
        <v>0</v>
      </c>
      <c r="AS56" s="358">
        <f t="shared" si="49"/>
        <v>0</v>
      </c>
      <c r="AT56" s="358">
        <f t="shared" si="49"/>
        <v>0</v>
      </c>
      <c r="AU56" s="153">
        <f>'Beer Data Sheet'!C77*$C$7/100</f>
        <v>198.75</v>
      </c>
      <c r="AV56" s="415">
        <f t="shared" si="10"/>
        <v>0.75</v>
      </c>
      <c r="AW56" s="527">
        <f>'Beer Data Sheet'!G81</f>
        <v>7.1</v>
      </c>
      <c r="AX56" s="527">
        <f t="shared" si="11"/>
        <v>0</v>
      </c>
      <c r="AY56" s="441">
        <f t="shared" si="44"/>
        <v>0</v>
      </c>
      <c r="AZ56" s="358">
        <f t="shared" si="13"/>
        <v>0</v>
      </c>
      <c r="BA56" s="1890"/>
      <c r="BB56" s="2496">
        <v>8.5540000000000003</v>
      </c>
      <c r="BC56" s="2865">
        <f t="shared" ref="BC56:BC61" si="69">BA56*16+BB56</f>
        <v>8.5540000000000003</v>
      </c>
      <c r="BD56" s="3217">
        <f t="shared" ref="BD56:BD61" si="70">1000*(BA56+BB56/16)*0.4536</f>
        <v>242.5059</v>
      </c>
      <c r="BE56" s="3249"/>
      <c r="BF56" s="416"/>
      <c r="BG56" s="107"/>
      <c r="BH56" s="107"/>
      <c r="BI56" s="107"/>
      <c r="BJ56" s="107"/>
      <c r="BK56" s="329"/>
      <c r="BL56" s="329"/>
      <c r="BM56" s="329"/>
      <c r="BN56" s="329"/>
      <c r="BO56" s="329"/>
      <c r="BP56" s="329"/>
      <c r="BQ56" s="329"/>
      <c r="BR56" s="329"/>
      <c r="BS56" s="329"/>
      <c r="BT56" s="329"/>
      <c r="BU56" s="329"/>
      <c r="BV56" s="329"/>
      <c r="BW56" s="329"/>
      <c r="BX56" s="329"/>
      <c r="BY56" s="329"/>
      <c r="BZ56" s="329"/>
      <c r="CA56" s="329"/>
      <c r="CB56" s="329"/>
    </row>
    <row r="57" spans="1:80" ht="15" customHeight="1">
      <c r="A57" s="4721"/>
      <c r="B57" s="2751" t="str">
        <f>'Beer Data Sheet'!B82</f>
        <v>Roast barley</v>
      </c>
      <c r="C57" s="2354"/>
      <c r="D57" s="533" t="s">
        <v>40</v>
      </c>
      <c r="E57" s="2149">
        <f t="shared" si="43"/>
        <v>0</v>
      </c>
      <c r="F57" s="2144">
        <f t="shared" si="9"/>
        <v>0</v>
      </c>
      <c r="G57" s="2686" t="str">
        <f>'Beer Data Sheet'!B32</f>
        <v>Tettnanger</v>
      </c>
      <c r="H57" s="2687">
        <f>'Beer Data Sheet'!C32</f>
        <v>5</v>
      </c>
      <c r="I57" s="2987"/>
      <c r="J57" s="2368"/>
      <c r="K57" s="2368"/>
      <c r="L57" s="2368"/>
      <c r="M57" s="2368"/>
      <c r="N57" s="2369"/>
      <c r="O57" s="2986">
        <f t="shared" si="48"/>
        <v>0</v>
      </c>
      <c r="P57" s="2128">
        <f t="shared" si="48"/>
        <v>0</v>
      </c>
      <c r="Q57" s="2128">
        <f t="shared" si="35"/>
        <v>0</v>
      </c>
      <c r="R57" s="2128">
        <f t="shared" si="35"/>
        <v>0</v>
      </c>
      <c r="S57" s="2128">
        <f t="shared" si="35"/>
        <v>0</v>
      </c>
      <c r="T57" s="2366">
        <f t="shared" si="35"/>
        <v>0</v>
      </c>
      <c r="U57" s="2988"/>
      <c r="V57" s="2368"/>
      <c r="W57" s="2368"/>
      <c r="X57" s="2368"/>
      <c r="Y57" s="2368"/>
      <c r="Z57" s="2369"/>
      <c r="AA57" s="2979" t="str">
        <f t="shared" si="33"/>
        <v>Tettnanger</v>
      </c>
      <c r="AB57" s="1865"/>
      <c r="AC57" s="358">
        <f t="shared" si="63"/>
        <v>0</v>
      </c>
      <c r="AD57" s="358">
        <f t="shared" si="64"/>
        <v>0</v>
      </c>
      <c r="AE57" s="358">
        <f t="shared" si="65"/>
        <v>0</v>
      </c>
      <c r="AF57" s="358">
        <f t="shared" si="66"/>
        <v>0</v>
      </c>
      <c r="AG57" s="358">
        <f t="shared" si="67"/>
        <v>0</v>
      </c>
      <c r="AH57" s="358">
        <f t="shared" si="68"/>
        <v>0</v>
      </c>
      <c r="AI57" s="440">
        <f t="shared" si="56"/>
        <v>0</v>
      </c>
      <c r="AJ57" s="358">
        <f t="shared" si="57"/>
        <v>0</v>
      </c>
      <c r="AK57" s="595">
        <f t="shared" si="58"/>
        <v>0</v>
      </c>
      <c r="AL57" s="595">
        <f t="shared" si="59"/>
        <v>0</v>
      </c>
      <c r="AM57" s="595">
        <f t="shared" si="60"/>
        <v>0</v>
      </c>
      <c r="AN57" s="597">
        <f t="shared" si="61"/>
        <v>0</v>
      </c>
      <c r="AO57" s="440">
        <f t="shared" si="49"/>
        <v>0</v>
      </c>
      <c r="AP57" s="598">
        <f t="shared" si="40"/>
        <v>0</v>
      </c>
      <c r="AQ57" s="593">
        <f t="shared" si="41"/>
        <v>0</v>
      </c>
      <c r="AR57" s="358">
        <f t="shared" si="49"/>
        <v>0</v>
      </c>
      <c r="AS57" s="358">
        <f t="shared" si="49"/>
        <v>0</v>
      </c>
      <c r="AT57" s="358">
        <f t="shared" si="49"/>
        <v>0</v>
      </c>
      <c r="AU57" s="153">
        <f>'Beer Data Sheet'!C78*$C$7/100</f>
        <v>198.75</v>
      </c>
      <c r="AV57" s="415">
        <f t="shared" si="10"/>
        <v>0.75</v>
      </c>
      <c r="AW57" s="527">
        <f>'Beer Data Sheet'!G82</f>
        <v>902.8</v>
      </c>
      <c r="AX57" s="527">
        <f t="shared" si="11"/>
        <v>0</v>
      </c>
      <c r="AY57" s="441">
        <f t="shared" si="44"/>
        <v>0</v>
      </c>
      <c r="AZ57" s="358">
        <f t="shared" si="13"/>
        <v>0</v>
      </c>
      <c r="BA57" s="1890">
        <v>1</v>
      </c>
      <c r="BB57" s="2496"/>
      <c r="BC57" s="2865">
        <f t="shared" si="69"/>
        <v>16</v>
      </c>
      <c r="BD57" s="3217">
        <f t="shared" si="70"/>
        <v>453.6</v>
      </c>
      <c r="BE57" s="3249"/>
      <c r="BF57" s="416"/>
      <c r="BG57" s="107"/>
      <c r="BH57" s="107"/>
      <c r="BI57" s="107"/>
      <c r="BJ57" s="107"/>
      <c r="BK57" s="329"/>
      <c r="BL57" s="329"/>
      <c r="BM57" s="329"/>
      <c r="BN57" s="329"/>
      <c r="BO57" s="329"/>
      <c r="BP57" s="329"/>
      <c r="BQ57" s="329"/>
      <c r="BR57" s="329"/>
      <c r="BS57" s="329"/>
      <c r="BT57" s="329"/>
      <c r="BU57" s="329"/>
      <c r="BV57" s="329"/>
      <c r="BW57" s="329"/>
      <c r="BX57" s="329"/>
      <c r="BY57" s="329"/>
      <c r="BZ57" s="329"/>
      <c r="CA57" s="329"/>
      <c r="CB57" s="329"/>
    </row>
    <row r="58" spans="1:80" ht="15" customHeight="1">
      <c r="A58" s="4908" t="s">
        <v>143</v>
      </c>
      <c r="B58" s="2752" t="str">
        <f>'Beer Data Sheet'!B83</f>
        <v>Cane ̸ beet sugar (sucrose)</v>
      </c>
      <c r="C58" s="2354"/>
      <c r="D58" s="534" t="s">
        <v>40</v>
      </c>
      <c r="E58" s="2149">
        <f>100*IF(C58=0,0,C58/$E$69)</f>
        <v>0</v>
      </c>
      <c r="F58" s="2144">
        <f t="shared" si="9"/>
        <v>0</v>
      </c>
      <c r="G58" s="2686" t="str">
        <f>'Beer Data Sheet'!B33</f>
        <v>WGV</v>
      </c>
      <c r="H58" s="2687">
        <f>'Beer Data Sheet'!C33</f>
        <v>6.3</v>
      </c>
      <c r="I58" s="2987"/>
      <c r="J58" s="2368"/>
      <c r="K58" s="2368"/>
      <c r="L58" s="2368"/>
      <c r="M58" s="2368"/>
      <c r="N58" s="2369"/>
      <c r="O58" s="2986">
        <f t="shared" si="48"/>
        <v>0</v>
      </c>
      <c r="P58" s="2128">
        <f t="shared" si="48"/>
        <v>0</v>
      </c>
      <c r="Q58" s="2128">
        <f t="shared" si="35"/>
        <v>0</v>
      </c>
      <c r="R58" s="2128">
        <f t="shared" si="35"/>
        <v>0</v>
      </c>
      <c r="S58" s="2128">
        <f t="shared" si="35"/>
        <v>0</v>
      </c>
      <c r="T58" s="2366">
        <f t="shared" si="35"/>
        <v>0</v>
      </c>
      <c r="U58" s="2988"/>
      <c r="V58" s="2368"/>
      <c r="W58" s="2368"/>
      <c r="X58" s="2368"/>
      <c r="Y58" s="2368"/>
      <c r="Z58" s="2369"/>
      <c r="AA58" s="2979" t="str">
        <f t="shared" si="33"/>
        <v>WGV</v>
      </c>
      <c r="AB58" s="1865"/>
      <c r="AC58" s="358">
        <f t="shared" si="63"/>
        <v>0</v>
      </c>
      <c r="AD58" s="358">
        <f t="shared" si="64"/>
        <v>0</v>
      </c>
      <c r="AE58" s="358">
        <f t="shared" si="65"/>
        <v>0</v>
      </c>
      <c r="AF58" s="358">
        <f t="shared" si="66"/>
        <v>0</v>
      </c>
      <c r="AG58" s="358">
        <f t="shared" si="67"/>
        <v>0</v>
      </c>
      <c r="AH58" s="358">
        <f t="shared" si="68"/>
        <v>0</v>
      </c>
      <c r="AI58" s="440">
        <f t="shared" si="56"/>
        <v>0</v>
      </c>
      <c r="AJ58" s="358">
        <f t="shared" si="57"/>
        <v>0</v>
      </c>
      <c r="AK58" s="595">
        <f t="shared" si="58"/>
        <v>0</v>
      </c>
      <c r="AL58" s="595">
        <f t="shared" si="59"/>
        <v>0</v>
      </c>
      <c r="AM58" s="595">
        <f t="shared" si="60"/>
        <v>0</v>
      </c>
      <c r="AN58" s="597">
        <f t="shared" si="61"/>
        <v>0</v>
      </c>
      <c r="AO58" s="440">
        <f t="shared" ref="AO58:AO63" si="71">$H58*U58</f>
        <v>0</v>
      </c>
      <c r="AP58" s="598">
        <f t="shared" ref="AP58:AP63" si="72">$H58*V58</f>
        <v>0</v>
      </c>
      <c r="AQ58" s="593">
        <f t="shared" ref="AQ58:AQ63" si="73">$H58*W58</f>
        <v>0</v>
      </c>
      <c r="AR58" s="358">
        <f t="shared" ref="AR58:AR63" si="74">$H58*X58</f>
        <v>0</v>
      </c>
      <c r="AS58" s="358">
        <f t="shared" ref="AS58:AS63" si="75">$H58*Y58</f>
        <v>0</v>
      </c>
      <c r="AT58" s="358">
        <f t="shared" ref="AT58:AT63" si="76">$H58*Z58</f>
        <v>0</v>
      </c>
      <c r="AU58" s="153">
        <f>'Beer Data Sheet'!C83*'Beer Data Sheet'!D83</f>
        <v>375</v>
      </c>
      <c r="AV58" s="609">
        <f>'Beer Data Sheet'!D83</f>
        <v>1</v>
      </c>
      <c r="AW58" s="527">
        <f>'Beer Data Sheet'!G83</f>
        <v>0</v>
      </c>
      <c r="AX58" s="527">
        <f t="shared" si="11"/>
        <v>0</v>
      </c>
      <c r="AY58" s="441">
        <f t="shared" si="44"/>
        <v>0</v>
      </c>
      <c r="AZ58" s="358">
        <f t="shared" si="13"/>
        <v>0</v>
      </c>
      <c r="BA58" s="1890">
        <v>1</v>
      </c>
      <c r="BB58" s="2496">
        <v>8</v>
      </c>
      <c r="BC58" s="2865">
        <f t="shared" si="69"/>
        <v>24</v>
      </c>
      <c r="BD58" s="3217">
        <f t="shared" si="70"/>
        <v>680.4</v>
      </c>
      <c r="BE58" s="3249"/>
      <c r="BF58" s="416"/>
      <c r="BG58" s="107"/>
      <c r="BH58" s="107"/>
      <c r="BI58" s="107"/>
      <c r="BJ58" s="107"/>
      <c r="BK58" s="329"/>
      <c r="BL58" s="329"/>
      <c r="BM58" s="329"/>
      <c r="BN58" s="329"/>
      <c r="BO58" s="329"/>
      <c r="BP58" s="329"/>
      <c r="BQ58" s="329"/>
      <c r="BR58" s="329"/>
      <c r="BS58" s="329"/>
      <c r="BT58" s="329"/>
      <c r="BU58" s="329"/>
      <c r="BV58" s="329"/>
      <c r="BW58" s="329"/>
      <c r="BX58" s="329"/>
      <c r="BY58" s="329"/>
      <c r="BZ58" s="329"/>
      <c r="CA58" s="329"/>
      <c r="CB58" s="329"/>
    </row>
    <row r="59" spans="1:80" ht="15" customHeight="1">
      <c r="A59" s="4909"/>
      <c r="B59" s="2752" t="str">
        <f>'Beer Data Sheet'!B84</f>
        <v>Brown sugar (light)</v>
      </c>
      <c r="C59" s="2354"/>
      <c r="D59" s="534" t="s">
        <v>40</v>
      </c>
      <c r="E59" s="2149">
        <f>100*IF(C59=0,0,C59/$E$69)</f>
        <v>0</v>
      </c>
      <c r="F59" s="2144">
        <f t="shared" si="9"/>
        <v>0</v>
      </c>
      <c r="G59" s="2686" t="str">
        <f>'Beer Data Sheet'!B34</f>
        <v>Yeoman</v>
      </c>
      <c r="H59" s="2687">
        <f>'Beer Data Sheet'!C34</f>
        <v>7.2</v>
      </c>
      <c r="I59" s="2987"/>
      <c r="J59" s="2368"/>
      <c r="K59" s="2368"/>
      <c r="L59" s="2368"/>
      <c r="M59" s="2368"/>
      <c r="N59" s="2369"/>
      <c r="O59" s="2986">
        <f t="shared" si="48"/>
        <v>0</v>
      </c>
      <c r="P59" s="2128">
        <f t="shared" si="48"/>
        <v>0</v>
      </c>
      <c r="Q59" s="2128">
        <f t="shared" si="35"/>
        <v>0</v>
      </c>
      <c r="R59" s="2128">
        <f t="shared" si="35"/>
        <v>0</v>
      </c>
      <c r="S59" s="2128">
        <f t="shared" si="35"/>
        <v>0</v>
      </c>
      <c r="T59" s="2366">
        <f t="shared" si="35"/>
        <v>0</v>
      </c>
      <c r="U59" s="2988"/>
      <c r="V59" s="2368"/>
      <c r="W59" s="2368"/>
      <c r="X59" s="2368"/>
      <c r="Y59" s="2368"/>
      <c r="Z59" s="2369"/>
      <c r="AA59" s="2979" t="str">
        <f t="shared" si="33"/>
        <v>Yeoman</v>
      </c>
      <c r="AB59" s="1865"/>
      <c r="AC59" s="358">
        <f t="shared" si="63"/>
        <v>0</v>
      </c>
      <c r="AD59" s="358">
        <f t="shared" si="64"/>
        <v>0</v>
      </c>
      <c r="AE59" s="358">
        <f t="shared" si="65"/>
        <v>0</v>
      </c>
      <c r="AF59" s="358">
        <f t="shared" si="66"/>
        <v>0</v>
      </c>
      <c r="AG59" s="358">
        <f t="shared" si="67"/>
        <v>0</v>
      </c>
      <c r="AH59" s="358">
        <f t="shared" si="68"/>
        <v>0</v>
      </c>
      <c r="AI59" s="440">
        <f t="shared" si="56"/>
        <v>0</v>
      </c>
      <c r="AJ59" s="358">
        <f t="shared" si="57"/>
        <v>0</v>
      </c>
      <c r="AK59" s="595">
        <f t="shared" si="58"/>
        <v>0</v>
      </c>
      <c r="AL59" s="595">
        <f t="shared" si="59"/>
        <v>0</v>
      </c>
      <c r="AM59" s="595">
        <f t="shared" si="60"/>
        <v>0</v>
      </c>
      <c r="AN59" s="597">
        <f t="shared" si="61"/>
        <v>0</v>
      </c>
      <c r="AO59" s="440">
        <f t="shared" si="71"/>
        <v>0</v>
      </c>
      <c r="AP59" s="598">
        <f t="shared" si="72"/>
        <v>0</v>
      </c>
      <c r="AQ59" s="593">
        <f t="shared" si="73"/>
        <v>0</v>
      </c>
      <c r="AR59" s="358">
        <f t="shared" si="74"/>
        <v>0</v>
      </c>
      <c r="AS59" s="358">
        <f t="shared" si="75"/>
        <v>0</v>
      </c>
      <c r="AT59" s="358">
        <f t="shared" si="76"/>
        <v>0</v>
      </c>
      <c r="AU59" s="153">
        <f>'Beer Data Sheet'!C84</f>
        <v>370</v>
      </c>
      <c r="AV59" s="609">
        <f>'Beer Data Sheet'!D84</f>
        <v>1</v>
      </c>
      <c r="AW59" s="527">
        <f>'Beer Data Sheet'!G84</f>
        <v>16</v>
      </c>
      <c r="AX59" s="527">
        <f t="shared" si="11"/>
        <v>0</v>
      </c>
      <c r="AY59" s="441">
        <f t="shared" si="44"/>
        <v>0</v>
      </c>
      <c r="AZ59" s="358">
        <f t="shared" si="13"/>
        <v>0</v>
      </c>
      <c r="BA59" s="1890">
        <v>2</v>
      </c>
      <c r="BB59" s="2496"/>
      <c r="BC59" s="2865">
        <f t="shared" si="69"/>
        <v>32</v>
      </c>
      <c r="BD59" s="3217">
        <f t="shared" si="70"/>
        <v>907.2</v>
      </c>
      <c r="BE59" s="3249"/>
      <c r="BF59" s="416"/>
      <c r="BG59" s="107"/>
      <c r="BH59" s="107"/>
      <c r="BI59" s="107"/>
      <c r="BJ59" s="107"/>
      <c r="BK59" s="329"/>
      <c r="BL59" s="329"/>
      <c r="BM59" s="329"/>
      <c r="BN59" s="329"/>
      <c r="BO59" s="329"/>
      <c r="BP59" s="329"/>
      <c r="BQ59" s="329"/>
      <c r="BR59" s="329"/>
      <c r="BS59" s="329"/>
      <c r="BT59" s="329"/>
      <c r="BU59" s="329"/>
      <c r="BV59" s="329"/>
      <c r="BW59" s="329"/>
      <c r="BX59" s="329"/>
      <c r="BY59" s="329"/>
      <c r="BZ59" s="329"/>
      <c r="CA59" s="329"/>
      <c r="CB59" s="329"/>
    </row>
    <row r="60" spans="1:80" ht="15" customHeight="1">
      <c r="A60" s="4909"/>
      <c r="B60" s="2752" t="str">
        <f>'Beer Data Sheet'!B85</f>
        <v>Brown sugar (medium)</v>
      </c>
      <c r="C60" s="2354"/>
      <c r="D60" s="534" t="s">
        <v>40</v>
      </c>
      <c r="E60" s="2149">
        <f t="shared" si="43"/>
        <v>0</v>
      </c>
      <c r="F60" s="2144">
        <f t="shared" si="9"/>
        <v>0</v>
      </c>
      <c r="G60" s="2686" t="str">
        <f>'Beer Data Sheet'!B35</f>
        <v>Other</v>
      </c>
      <c r="H60" s="2687">
        <f>'Beer Data Sheet'!C35</f>
        <v>0</v>
      </c>
      <c r="I60" s="2987"/>
      <c r="J60" s="2368"/>
      <c r="K60" s="2368"/>
      <c r="L60" s="2368"/>
      <c r="M60" s="2368"/>
      <c r="N60" s="2369"/>
      <c r="O60" s="2986">
        <f t="shared" si="48"/>
        <v>0</v>
      </c>
      <c r="P60" s="2128">
        <f t="shared" si="48"/>
        <v>0</v>
      </c>
      <c r="Q60" s="2128">
        <f t="shared" si="35"/>
        <v>0</v>
      </c>
      <c r="R60" s="2128">
        <f t="shared" si="35"/>
        <v>0</v>
      </c>
      <c r="S60" s="2128">
        <f t="shared" si="35"/>
        <v>0</v>
      </c>
      <c r="T60" s="2366">
        <f t="shared" si="35"/>
        <v>0</v>
      </c>
      <c r="U60" s="2988"/>
      <c r="V60" s="2368"/>
      <c r="W60" s="2368"/>
      <c r="X60" s="2368"/>
      <c r="Y60" s="2368"/>
      <c r="Z60" s="2369"/>
      <c r="AA60" s="2979" t="str">
        <f t="shared" si="33"/>
        <v>Other</v>
      </c>
      <c r="AB60" s="1865"/>
      <c r="AC60" s="358">
        <f t="shared" si="63"/>
        <v>0</v>
      </c>
      <c r="AD60" s="358">
        <f t="shared" si="64"/>
        <v>0</v>
      </c>
      <c r="AE60" s="358">
        <f t="shared" si="65"/>
        <v>0</v>
      </c>
      <c r="AF60" s="358">
        <f t="shared" si="66"/>
        <v>0</v>
      </c>
      <c r="AG60" s="358">
        <f t="shared" si="67"/>
        <v>0</v>
      </c>
      <c r="AH60" s="358">
        <f t="shared" si="68"/>
        <v>0</v>
      </c>
      <c r="AI60" s="440">
        <f t="shared" si="56"/>
        <v>0</v>
      </c>
      <c r="AJ60" s="358">
        <f t="shared" si="57"/>
        <v>0</v>
      </c>
      <c r="AK60" s="595">
        <f t="shared" si="58"/>
        <v>0</v>
      </c>
      <c r="AL60" s="595">
        <f t="shared" si="59"/>
        <v>0</v>
      </c>
      <c r="AM60" s="595">
        <f t="shared" si="60"/>
        <v>0</v>
      </c>
      <c r="AN60" s="597">
        <f t="shared" si="61"/>
        <v>0</v>
      </c>
      <c r="AO60" s="440">
        <f t="shared" si="71"/>
        <v>0</v>
      </c>
      <c r="AP60" s="598">
        <f t="shared" si="72"/>
        <v>0</v>
      </c>
      <c r="AQ60" s="593">
        <f t="shared" si="73"/>
        <v>0</v>
      </c>
      <c r="AR60" s="358">
        <f t="shared" si="74"/>
        <v>0</v>
      </c>
      <c r="AS60" s="358">
        <f t="shared" si="75"/>
        <v>0</v>
      </c>
      <c r="AT60" s="358">
        <f t="shared" si="76"/>
        <v>0</v>
      </c>
      <c r="AU60" s="153">
        <f>'Beer Data Sheet'!C85</f>
        <v>319</v>
      </c>
      <c r="AV60" s="609">
        <f>'Beer Data Sheet'!D85</f>
        <v>1</v>
      </c>
      <c r="AW60" s="527">
        <f>'Beer Data Sheet'!G85</f>
        <v>45</v>
      </c>
      <c r="AX60" s="527">
        <f t="shared" si="11"/>
        <v>0</v>
      </c>
      <c r="AY60" s="535">
        <f t="shared" si="44"/>
        <v>0</v>
      </c>
      <c r="AZ60" s="358">
        <f t="shared" si="13"/>
        <v>0</v>
      </c>
      <c r="BA60" s="1890">
        <v>12</v>
      </c>
      <c r="BB60" s="2496">
        <v>8</v>
      </c>
      <c r="BC60" s="2865">
        <f t="shared" si="69"/>
        <v>200</v>
      </c>
      <c r="BD60" s="3217">
        <f t="shared" si="70"/>
        <v>5670</v>
      </c>
      <c r="BE60" s="3249"/>
      <c r="BF60" s="416"/>
      <c r="BG60" s="107"/>
      <c r="BH60" s="107"/>
      <c r="BI60" s="107"/>
      <c r="BJ60" s="107"/>
      <c r="BK60" s="329"/>
      <c r="BL60" s="329"/>
      <c r="BM60" s="329"/>
      <c r="BN60" s="329"/>
      <c r="BO60" s="329"/>
      <c r="BP60" s="329"/>
      <c r="BQ60" s="329"/>
      <c r="BR60" s="329"/>
      <c r="BS60" s="329"/>
      <c r="BT60" s="329"/>
      <c r="BU60" s="329"/>
      <c r="BV60" s="329"/>
      <c r="BW60" s="329"/>
      <c r="BX60" s="329"/>
      <c r="BY60" s="329"/>
      <c r="BZ60" s="329"/>
      <c r="CA60" s="329"/>
      <c r="CB60" s="329"/>
    </row>
    <row r="61" spans="1:80" ht="15" customHeight="1">
      <c r="A61" s="4909"/>
      <c r="B61" s="2752" t="str">
        <f>'Beer Data Sheet'!B86</f>
        <v>Brewing sugar</v>
      </c>
      <c r="C61" s="2354"/>
      <c r="D61" s="534" t="s">
        <v>40</v>
      </c>
      <c r="E61" s="2149">
        <f t="shared" si="43"/>
        <v>0</v>
      </c>
      <c r="F61" s="2144">
        <f t="shared" si="9"/>
        <v>0</v>
      </c>
      <c r="G61" s="2686" t="str">
        <f>'Beer Data Sheet'!B36</f>
        <v>Other</v>
      </c>
      <c r="H61" s="2687">
        <f>'Beer Data Sheet'!C36</f>
        <v>0</v>
      </c>
      <c r="I61" s="2987"/>
      <c r="J61" s="2368"/>
      <c r="K61" s="2368"/>
      <c r="L61" s="2368"/>
      <c r="M61" s="2368"/>
      <c r="N61" s="2369"/>
      <c r="O61" s="2986">
        <f t="shared" si="48"/>
        <v>0</v>
      </c>
      <c r="P61" s="2128">
        <f t="shared" si="48"/>
        <v>0</v>
      </c>
      <c r="Q61" s="2128">
        <f t="shared" si="35"/>
        <v>0</v>
      </c>
      <c r="R61" s="2128">
        <f t="shared" si="35"/>
        <v>0</v>
      </c>
      <c r="S61" s="2128">
        <f t="shared" si="35"/>
        <v>0</v>
      </c>
      <c r="T61" s="2366">
        <f t="shared" si="35"/>
        <v>0</v>
      </c>
      <c r="U61" s="2988"/>
      <c r="V61" s="2368"/>
      <c r="W61" s="2368"/>
      <c r="X61" s="2368"/>
      <c r="Y61" s="2368"/>
      <c r="Z61" s="2369"/>
      <c r="AA61" s="2979" t="str">
        <f t="shared" si="33"/>
        <v>Other</v>
      </c>
      <c r="AB61" s="1865"/>
      <c r="AC61" s="358">
        <f t="shared" si="63"/>
        <v>0</v>
      </c>
      <c r="AD61" s="358">
        <f t="shared" si="64"/>
        <v>0</v>
      </c>
      <c r="AE61" s="358">
        <f t="shared" si="65"/>
        <v>0</v>
      </c>
      <c r="AF61" s="358">
        <f t="shared" si="66"/>
        <v>0</v>
      </c>
      <c r="AG61" s="358">
        <f t="shared" si="67"/>
        <v>0</v>
      </c>
      <c r="AH61" s="358">
        <f t="shared" si="68"/>
        <v>0</v>
      </c>
      <c r="AI61" s="440">
        <f t="shared" si="56"/>
        <v>0</v>
      </c>
      <c r="AJ61" s="358">
        <f t="shared" si="57"/>
        <v>0</v>
      </c>
      <c r="AK61" s="595">
        <f t="shared" si="58"/>
        <v>0</v>
      </c>
      <c r="AL61" s="595">
        <f t="shared" si="59"/>
        <v>0</v>
      </c>
      <c r="AM61" s="595">
        <f t="shared" si="60"/>
        <v>0</v>
      </c>
      <c r="AN61" s="597">
        <f t="shared" si="61"/>
        <v>0</v>
      </c>
      <c r="AO61" s="440">
        <f t="shared" si="71"/>
        <v>0</v>
      </c>
      <c r="AP61" s="598">
        <f t="shared" si="72"/>
        <v>0</v>
      </c>
      <c r="AQ61" s="593">
        <f t="shared" si="73"/>
        <v>0</v>
      </c>
      <c r="AR61" s="358">
        <f t="shared" si="74"/>
        <v>0</v>
      </c>
      <c r="AS61" s="358">
        <f t="shared" si="75"/>
        <v>0</v>
      </c>
      <c r="AT61" s="358">
        <f t="shared" si="76"/>
        <v>0</v>
      </c>
      <c r="AU61" s="153">
        <f>'Beer Data Sheet'!C86</f>
        <v>360</v>
      </c>
      <c r="AV61" s="609">
        <f>'Beer Data Sheet'!D86</f>
        <v>0.95</v>
      </c>
      <c r="AW61" s="527">
        <f>'Beer Data Sheet'!G86</f>
        <v>0</v>
      </c>
      <c r="AX61" s="527">
        <f t="shared" si="11"/>
        <v>0</v>
      </c>
      <c r="AY61" s="535">
        <f t="shared" si="44"/>
        <v>0</v>
      </c>
      <c r="AZ61" s="358">
        <f t="shared" si="13"/>
        <v>0</v>
      </c>
      <c r="BA61" s="1890">
        <v>20</v>
      </c>
      <c r="BB61" s="2496">
        <v>0.1111</v>
      </c>
      <c r="BC61" s="2865">
        <f t="shared" si="69"/>
        <v>320.11110000000002</v>
      </c>
      <c r="BD61" s="3217">
        <f t="shared" si="70"/>
        <v>9075.1496850000003</v>
      </c>
      <c r="BE61" s="3249"/>
      <c r="BF61" s="416"/>
      <c r="BG61" s="107"/>
      <c r="BH61" s="107"/>
      <c r="BI61" s="107"/>
      <c r="BJ61" s="107"/>
      <c r="BK61" s="329"/>
      <c r="BL61" s="329"/>
      <c r="BM61" s="329"/>
      <c r="BN61" s="329"/>
      <c r="BO61" s="329"/>
      <c r="BP61" s="329"/>
      <c r="BQ61" s="329"/>
      <c r="BR61" s="329"/>
      <c r="BS61" s="329"/>
      <c r="BT61" s="329"/>
      <c r="BU61" s="329"/>
      <c r="BV61" s="329"/>
      <c r="BW61" s="329"/>
      <c r="BX61" s="329"/>
      <c r="BY61" s="329"/>
      <c r="BZ61" s="329"/>
      <c r="CA61" s="329"/>
      <c r="CB61" s="329"/>
    </row>
    <row r="62" spans="1:80" ht="15" customHeight="1">
      <c r="A62" s="4910"/>
      <c r="B62" s="3572" t="str">
        <f>'Beer Data Sheet'!B87</f>
        <v>Lactose (non-fermentable sugar, no boil)</v>
      </c>
      <c r="C62" s="2355"/>
      <c r="D62" s="536" t="s">
        <v>40</v>
      </c>
      <c r="E62" s="2149">
        <f t="shared" si="43"/>
        <v>0</v>
      </c>
      <c r="F62" s="2144">
        <f t="shared" si="9"/>
        <v>0</v>
      </c>
      <c r="G62" s="2686" t="str">
        <f>'Beer Data Sheet'!B37</f>
        <v>Other</v>
      </c>
      <c r="H62" s="2687">
        <f>'Beer Data Sheet'!C37</f>
        <v>0</v>
      </c>
      <c r="I62" s="2987"/>
      <c r="J62" s="2368"/>
      <c r="K62" s="2368"/>
      <c r="L62" s="2368"/>
      <c r="M62" s="2368"/>
      <c r="N62" s="2369"/>
      <c r="O62" s="2986">
        <f t="shared" si="48"/>
        <v>0</v>
      </c>
      <c r="P62" s="2128">
        <f t="shared" si="48"/>
        <v>0</v>
      </c>
      <c r="Q62" s="2128">
        <f t="shared" si="35"/>
        <v>0</v>
      </c>
      <c r="R62" s="2128">
        <f t="shared" si="35"/>
        <v>0</v>
      </c>
      <c r="S62" s="2128">
        <f t="shared" si="35"/>
        <v>0</v>
      </c>
      <c r="T62" s="2366">
        <f t="shared" si="35"/>
        <v>0</v>
      </c>
      <c r="U62" s="2988"/>
      <c r="V62" s="2368"/>
      <c r="W62" s="2368"/>
      <c r="X62" s="2368"/>
      <c r="Y62" s="2368"/>
      <c r="Z62" s="2369"/>
      <c r="AA62" s="2979" t="str">
        <f t="shared" si="33"/>
        <v>Other</v>
      </c>
      <c r="AB62" s="1865"/>
      <c r="AC62" s="358">
        <f t="shared" si="63"/>
        <v>0</v>
      </c>
      <c r="AD62" s="358">
        <f t="shared" si="64"/>
        <v>0</v>
      </c>
      <c r="AE62" s="358">
        <f t="shared" si="65"/>
        <v>0</v>
      </c>
      <c r="AF62" s="358">
        <f t="shared" si="66"/>
        <v>0</v>
      </c>
      <c r="AG62" s="358">
        <f t="shared" si="67"/>
        <v>0</v>
      </c>
      <c r="AH62" s="358">
        <f t="shared" si="68"/>
        <v>0</v>
      </c>
      <c r="AI62" s="440">
        <f t="shared" si="56"/>
        <v>0</v>
      </c>
      <c r="AJ62" s="358">
        <f t="shared" si="57"/>
        <v>0</v>
      </c>
      <c r="AK62" s="595">
        <f t="shared" si="58"/>
        <v>0</v>
      </c>
      <c r="AL62" s="595">
        <f t="shared" si="59"/>
        <v>0</v>
      </c>
      <c r="AM62" s="595">
        <f t="shared" si="60"/>
        <v>0</v>
      </c>
      <c r="AN62" s="597">
        <f t="shared" si="61"/>
        <v>0</v>
      </c>
      <c r="AO62" s="440">
        <f t="shared" si="71"/>
        <v>0</v>
      </c>
      <c r="AP62" s="598">
        <f t="shared" si="72"/>
        <v>0</v>
      </c>
      <c r="AQ62" s="593">
        <f t="shared" si="73"/>
        <v>0</v>
      </c>
      <c r="AR62" s="358">
        <f t="shared" si="74"/>
        <v>0</v>
      </c>
      <c r="AS62" s="358">
        <f t="shared" si="75"/>
        <v>0</v>
      </c>
      <c r="AT62" s="358">
        <f t="shared" si="76"/>
        <v>0</v>
      </c>
      <c r="AU62" s="153">
        <f>'Beer Data Sheet'!C87</f>
        <v>380</v>
      </c>
      <c r="AV62" s="609">
        <f>'Beer Data Sheet'!D87</f>
        <v>0</v>
      </c>
      <c r="AW62" s="527">
        <f>'Beer Data Sheet'!G87</f>
        <v>30</v>
      </c>
      <c r="AX62" s="527">
        <f t="shared" si="11"/>
        <v>0</v>
      </c>
      <c r="AY62" s="535">
        <f t="shared" si="44"/>
        <v>0</v>
      </c>
      <c r="AZ62" s="358">
        <f t="shared" si="13"/>
        <v>0</v>
      </c>
      <c r="BA62" s="363"/>
      <c r="BB62" s="107"/>
      <c r="BC62" s="107"/>
      <c r="BD62" s="107"/>
      <c r="BE62" s="3249"/>
      <c r="BF62" s="416"/>
      <c r="BG62" s="107"/>
      <c r="BH62" s="107"/>
      <c r="BI62" s="107"/>
      <c r="BJ62" s="107"/>
      <c r="BK62" s="329"/>
      <c r="BL62" s="329"/>
      <c r="BM62" s="329"/>
      <c r="BN62" s="329"/>
      <c r="BO62" s="329"/>
      <c r="BP62" s="329"/>
      <c r="BQ62" s="329"/>
      <c r="BR62" s="329"/>
      <c r="BS62" s="329"/>
      <c r="BT62" s="329"/>
      <c r="BU62" s="329"/>
      <c r="BV62" s="329"/>
      <c r="BW62" s="329"/>
      <c r="BX62" s="329"/>
      <c r="BY62" s="329"/>
      <c r="BZ62" s="329"/>
      <c r="CA62" s="329"/>
      <c r="CB62" s="329"/>
    </row>
    <row r="63" spans="1:80" ht="15" customHeight="1">
      <c r="A63" s="1804"/>
      <c r="B63" s="2052" t="s">
        <v>1853</v>
      </c>
      <c r="C63" s="2356">
        <f>C6*C65+(AU58*C58*AV58+AU59*C59*AV59+AU60*C60*AV60+AU61*C61*AV61+AU62*C62+AV62)/375</f>
        <v>144.9</v>
      </c>
      <c r="D63" s="4722" t="str">
        <f>"g = "&amp;FIXED(100*((AY65+SUM(AX58:AX62))/(AY65+SUM(AX32:AX62))),1)&amp;"% of the fermentable sugars."</f>
        <v>g = 22.3% of the fermentable sugars.</v>
      </c>
      <c r="E63" s="4723"/>
      <c r="F63" s="4724"/>
      <c r="G63" s="2686" t="str">
        <f>'Beer Data Sheet'!B38</f>
        <v>Other</v>
      </c>
      <c r="H63" s="2687">
        <f>'Beer Data Sheet'!C38</f>
        <v>0</v>
      </c>
      <c r="I63" s="2370"/>
      <c r="J63" s="2371"/>
      <c r="K63" s="2371"/>
      <c r="L63" s="2371"/>
      <c r="M63" s="2371"/>
      <c r="N63" s="2372"/>
      <c r="O63" s="2373">
        <f t="shared" si="48"/>
        <v>0</v>
      </c>
      <c r="P63" s="2374">
        <f t="shared" si="48"/>
        <v>0</v>
      </c>
      <c r="Q63" s="2374">
        <f t="shared" si="35"/>
        <v>0</v>
      </c>
      <c r="R63" s="2374">
        <f t="shared" si="35"/>
        <v>0</v>
      </c>
      <c r="S63" s="2374">
        <f t="shared" si="35"/>
        <v>0</v>
      </c>
      <c r="T63" s="2375">
        <f t="shared" si="35"/>
        <v>0</v>
      </c>
      <c r="U63" s="2376"/>
      <c r="V63" s="2371"/>
      <c r="W63" s="2371"/>
      <c r="X63" s="2371"/>
      <c r="Y63" s="2371"/>
      <c r="Z63" s="2372"/>
      <c r="AA63" s="2979" t="str">
        <f t="shared" si="33"/>
        <v>Other</v>
      </c>
      <c r="AB63" s="1865"/>
      <c r="AC63" s="358">
        <f t="shared" si="63"/>
        <v>0</v>
      </c>
      <c r="AD63" s="358">
        <f t="shared" si="64"/>
        <v>0</v>
      </c>
      <c r="AE63" s="358">
        <f t="shared" si="65"/>
        <v>0</v>
      </c>
      <c r="AF63" s="358">
        <f t="shared" si="66"/>
        <v>0</v>
      </c>
      <c r="AG63" s="358">
        <f t="shared" si="67"/>
        <v>0</v>
      </c>
      <c r="AH63" s="358">
        <f t="shared" si="68"/>
        <v>0</v>
      </c>
      <c r="AI63" s="440">
        <f t="shared" ref="AI63:AN63" si="77">$H63*O63</f>
        <v>0</v>
      </c>
      <c r="AJ63" s="358">
        <f t="shared" si="77"/>
        <v>0</v>
      </c>
      <c r="AK63" s="595">
        <f t="shared" si="77"/>
        <v>0</v>
      </c>
      <c r="AL63" s="595">
        <f t="shared" si="77"/>
        <v>0</v>
      </c>
      <c r="AM63" s="595">
        <f t="shared" si="77"/>
        <v>0</v>
      </c>
      <c r="AN63" s="597">
        <f t="shared" si="77"/>
        <v>0</v>
      </c>
      <c r="AO63" s="440">
        <f t="shared" si="71"/>
        <v>0</v>
      </c>
      <c r="AP63" s="598">
        <f t="shared" si="72"/>
        <v>0</v>
      </c>
      <c r="AQ63" s="593">
        <f t="shared" si="73"/>
        <v>0</v>
      </c>
      <c r="AR63" s="358">
        <f t="shared" si="74"/>
        <v>0</v>
      </c>
      <c r="AS63" s="358">
        <f t="shared" si="75"/>
        <v>0</v>
      </c>
      <c r="AT63" s="358">
        <f t="shared" si="76"/>
        <v>0</v>
      </c>
      <c r="AU63" s="153"/>
      <c r="AV63" s="609"/>
      <c r="AW63" s="527"/>
      <c r="AX63" s="527"/>
      <c r="AY63" s="535"/>
      <c r="AZ63" s="358"/>
      <c r="BA63" s="363"/>
      <c r="BB63" s="107"/>
      <c r="BC63" s="107"/>
      <c r="BD63" s="107"/>
      <c r="BE63" s="107"/>
      <c r="BF63" s="107"/>
      <c r="BG63" s="107"/>
      <c r="BH63" s="107"/>
      <c r="BI63" s="107"/>
      <c r="BJ63" s="107"/>
      <c r="BK63" s="329"/>
      <c r="BL63" s="329"/>
      <c r="BM63" s="329"/>
      <c r="BN63" s="329"/>
      <c r="BO63" s="329"/>
      <c r="BP63" s="329"/>
      <c r="BQ63" s="329"/>
      <c r="BR63" s="329"/>
      <c r="BS63" s="329"/>
      <c r="BT63" s="329"/>
      <c r="BU63" s="329"/>
      <c r="BV63" s="329"/>
      <c r="BW63" s="329"/>
      <c r="BX63" s="329"/>
      <c r="BY63" s="329"/>
      <c r="BZ63" s="329"/>
      <c r="CA63" s="329"/>
      <c r="CB63" s="329"/>
    </row>
    <row r="64" spans="1:80" ht="15" customHeight="1">
      <c r="A64" s="1804"/>
      <c r="B64" s="4729" t="s">
        <v>341</v>
      </c>
      <c r="C64" s="4730"/>
      <c r="D64" s="4730"/>
      <c r="E64" s="4730"/>
      <c r="F64" s="4731"/>
      <c r="G64" s="4732" t="s">
        <v>647</v>
      </c>
      <c r="H64" s="4733"/>
      <c r="I64" s="2989">
        <v>0</v>
      </c>
      <c r="J64" s="4734" t="str">
        <f>"ml = "&amp;FIXED(I64/5)&amp;" tsp (5ml)"</f>
        <v>ml = 0.00 tsp (5ml)</v>
      </c>
      <c r="K64" s="4735"/>
      <c r="L64" s="4735"/>
      <c r="M64" s="4735"/>
      <c r="N64" s="4736"/>
      <c r="O64" s="2990">
        <f>I64</f>
        <v>0</v>
      </c>
      <c r="P64" s="4941" t="str">
        <f>"ml = "&amp;FIXED(O64/5)&amp;" tsp (5ml)"</f>
        <v>ml = 0.00 tsp (5ml)</v>
      </c>
      <c r="Q64" s="4942"/>
      <c r="R64" s="4942"/>
      <c r="S64" s="4942"/>
      <c r="T64" s="4943"/>
      <c r="U64" s="2991">
        <f>I64</f>
        <v>0</v>
      </c>
      <c r="V64" s="4944" t="str">
        <f>"ml = "&amp;FIXED(U64/5)&amp;" tsp (5ml)"</f>
        <v>ml = 0.00 tsp (5ml)</v>
      </c>
      <c r="W64" s="4735"/>
      <c r="X64" s="4735"/>
      <c r="Y64" s="4735"/>
      <c r="Z64" s="4736"/>
      <c r="AA64" s="106"/>
      <c r="AB64" s="106"/>
      <c r="AC64" s="358"/>
      <c r="AD64" s="358"/>
      <c r="AE64" s="358"/>
      <c r="AF64" s="358"/>
      <c r="AG64" s="358"/>
      <c r="AH64" s="358"/>
      <c r="AI64" s="440"/>
      <c r="AJ64" s="358"/>
      <c r="AK64" s="595"/>
      <c r="AL64" s="595"/>
      <c r="AM64" s="595"/>
      <c r="AN64" s="597"/>
      <c r="AO64" s="440"/>
      <c r="AP64" s="598"/>
      <c r="AQ64" s="593"/>
      <c r="AR64" s="358"/>
      <c r="AS64" s="358"/>
      <c r="AT64" s="358"/>
      <c r="AU64" s="156"/>
      <c r="AV64" s="538"/>
      <c r="AW64" s="524"/>
      <c r="AX64" s="539"/>
      <c r="AY64" s="540"/>
      <c r="AZ64" s="524"/>
      <c r="BA64" s="514"/>
      <c r="BB64" s="107"/>
      <c r="BC64" s="107"/>
      <c r="BD64" s="107"/>
      <c r="BE64" s="107"/>
      <c r="BF64" s="107"/>
      <c r="BG64" s="107"/>
      <c r="BH64" s="107"/>
      <c r="BI64" s="107"/>
      <c r="BJ64" s="107"/>
      <c r="BK64" s="329"/>
      <c r="BL64" s="329"/>
      <c r="BM64" s="329"/>
      <c r="BN64" s="329"/>
      <c r="BO64" s="329"/>
      <c r="BP64" s="329"/>
      <c r="BQ64" s="329"/>
      <c r="BR64" s="329"/>
      <c r="BS64" s="329"/>
      <c r="BT64" s="329"/>
      <c r="BU64" s="329"/>
      <c r="BV64" s="329"/>
      <c r="BW64" s="329"/>
      <c r="BX64" s="329"/>
      <c r="BY64" s="329"/>
      <c r="BZ64" s="329"/>
      <c r="CA64" s="329"/>
      <c r="CB64" s="329"/>
    </row>
    <row r="65" spans="1:80" ht="15" customHeight="1">
      <c r="A65" s="492"/>
      <c r="B65" s="3446" t="str">
        <f>"Priming sugar (sucrose, 1 level tsp = "&amp;'Beer Data Sheet'!$O$20&amp;"g)"</f>
        <v>Priming sugar (sucrose, 1 level tsp = 3.15g)</v>
      </c>
      <c r="C65" s="3390">
        <v>6.3</v>
      </c>
      <c r="D65" s="3471" t="s">
        <v>180</v>
      </c>
      <c r="E65" s="2143">
        <f>100*IF(C65=0,0,C65*C6/$E$69)</f>
        <v>14.001352787708957</v>
      </c>
      <c r="F65" s="2872">
        <f>IF(AY65=0,0,AY65*100/$F$69)</f>
        <v>22.261484098939928</v>
      </c>
      <c r="G65" s="4742" t="s">
        <v>646</v>
      </c>
      <c r="H65" s="4743"/>
      <c r="I65" s="4936" t="s">
        <v>342</v>
      </c>
      <c r="J65" s="4937"/>
      <c r="K65" s="4937"/>
      <c r="L65" s="4937"/>
      <c r="M65" s="4937"/>
      <c r="N65" s="4937"/>
      <c r="O65" s="4937"/>
      <c r="P65" s="4937"/>
      <c r="Q65" s="4937"/>
      <c r="R65" s="4937"/>
      <c r="S65" s="4937"/>
      <c r="T65" s="4937"/>
      <c r="U65" s="4937"/>
      <c r="V65" s="4937"/>
      <c r="W65" s="4937"/>
      <c r="X65" s="4937"/>
      <c r="Y65" s="4937"/>
      <c r="Z65" s="4938"/>
      <c r="AA65" s="106"/>
      <c r="AB65" s="106"/>
      <c r="AC65" s="358">
        <f>SUM(AC33:AC63)</f>
        <v>375</v>
      </c>
      <c r="AD65" s="358">
        <f t="shared" ref="AD65:AT65" si="78">SUM(AD33:AD63)</f>
        <v>0</v>
      </c>
      <c r="AE65" s="358">
        <f t="shared" si="78"/>
        <v>0</v>
      </c>
      <c r="AF65" s="311">
        <f t="shared" si="78"/>
        <v>0</v>
      </c>
      <c r="AG65" s="311">
        <f t="shared" si="78"/>
        <v>75</v>
      </c>
      <c r="AH65" s="311">
        <f t="shared" si="78"/>
        <v>0</v>
      </c>
      <c r="AI65" s="312">
        <f t="shared" si="78"/>
        <v>375</v>
      </c>
      <c r="AJ65" s="308">
        <f>SUM(AJ33:AJ63)</f>
        <v>0</v>
      </c>
      <c r="AK65" s="308">
        <f t="shared" si="78"/>
        <v>0</v>
      </c>
      <c r="AL65" s="308">
        <f t="shared" si="78"/>
        <v>0</v>
      </c>
      <c r="AM65" s="1602">
        <f t="shared" si="78"/>
        <v>75</v>
      </c>
      <c r="AN65" s="308">
        <f t="shared" si="78"/>
        <v>0</v>
      </c>
      <c r="AO65" s="440">
        <f t="shared" si="78"/>
        <v>225</v>
      </c>
      <c r="AP65" s="358">
        <f t="shared" si="78"/>
        <v>0</v>
      </c>
      <c r="AQ65" s="358">
        <f t="shared" si="78"/>
        <v>0</v>
      </c>
      <c r="AR65" s="358">
        <f t="shared" si="78"/>
        <v>0</v>
      </c>
      <c r="AS65" s="358">
        <f t="shared" si="78"/>
        <v>45</v>
      </c>
      <c r="AT65" s="358">
        <f t="shared" si="78"/>
        <v>0</v>
      </c>
      <c r="AU65" s="157"/>
      <c r="AV65" s="539"/>
      <c r="AW65" s="524" t="s">
        <v>343</v>
      </c>
      <c r="AX65" s="524"/>
      <c r="AY65" s="541">
        <f>0.001*C65*C6*375</f>
        <v>54.337499999999999</v>
      </c>
      <c r="AZ65" s="524"/>
      <c r="BA65" s="514"/>
      <c r="BB65" s="107"/>
      <c r="BC65" s="107"/>
      <c r="BD65" s="107"/>
      <c r="BE65" s="107"/>
      <c r="BF65" s="107"/>
      <c r="BG65" s="107"/>
      <c r="BH65" s="107"/>
      <c r="BI65" s="107"/>
      <c r="BJ65" s="107"/>
      <c r="BK65" s="329"/>
      <c r="BL65" s="329"/>
      <c r="BM65" s="329"/>
      <c r="BN65" s="329"/>
      <c r="BO65" s="329"/>
      <c r="BP65" s="3426" t="s">
        <v>1862</v>
      </c>
      <c r="BQ65" s="329"/>
      <c r="BR65" s="329"/>
      <c r="BS65" s="329"/>
      <c r="BT65" s="329"/>
      <c r="BU65" s="329"/>
      <c r="BV65" s="329"/>
      <c r="BW65" s="329"/>
      <c r="BX65" s="329"/>
      <c r="BY65" s="329"/>
      <c r="BZ65" s="329"/>
      <c r="CA65" s="3472"/>
      <c r="CB65" s="3472"/>
    </row>
    <row r="66" spans="1:80" ht="15" customHeight="1">
      <c r="A66" s="492"/>
      <c r="B66" s="2053" t="s">
        <v>182</v>
      </c>
      <c r="C66" s="2388">
        <f>C65/'Beer Data Sheet'!O20</f>
        <v>2</v>
      </c>
      <c r="D66" s="4746" t="s">
        <v>183</v>
      </c>
      <c r="E66" s="4747"/>
      <c r="F66" s="4911"/>
      <c r="G66" s="4912" t="s">
        <v>154</v>
      </c>
      <c r="H66" s="4913"/>
      <c r="I66" s="3392">
        <v>11</v>
      </c>
      <c r="J66" s="4948" t="s">
        <v>1882</v>
      </c>
      <c r="K66" s="4948"/>
      <c r="L66" s="4948"/>
      <c r="M66" s="4948"/>
      <c r="N66" s="4948"/>
      <c r="O66" s="3393">
        <v>12.25</v>
      </c>
      <c r="P66" s="4744" t="s">
        <v>1883</v>
      </c>
      <c r="Q66" s="4744"/>
      <c r="R66" s="4744"/>
      <c r="S66" s="4744"/>
      <c r="T66" s="4744"/>
      <c r="U66" s="3394">
        <v>3.5</v>
      </c>
      <c r="V66" s="4939" t="s">
        <v>1886</v>
      </c>
      <c r="W66" s="4939"/>
      <c r="X66" s="4939"/>
      <c r="Y66" s="4939"/>
      <c r="Z66" s="4939"/>
      <c r="AA66" s="106"/>
      <c r="AB66" s="106"/>
      <c r="AC66" s="524"/>
      <c r="AD66" s="524"/>
      <c r="AE66" s="524"/>
      <c r="AF66" s="542"/>
      <c r="AG66" s="542"/>
      <c r="AH66" s="542"/>
      <c r="AI66" s="542"/>
      <c r="AJ66" s="542"/>
      <c r="AK66" s="542"/>
      <c r="AL66" s="542"/>
      <c r="AM66" s="542"/>
      <c r="AN66" s="542"/>
      <c r="AO66" s="885">
        <f>SUM(U33:Z63)</f>
        <v>36</v>
      </c>
      <c r="AP66" s="542"/>
      <c r="AQ66" s="542"/>
      <c r="AR66" s="542"/>
      <c r="AS66" s="542"/>
      <c r="AT66" s="542"/>
      <c r="AU66" s="542" t="s">
        <v>344</v>
      </c>
      <c r="AV66" s="524"/>
      <c r="AW66" s="437" t="s">
        <v>191</v>
      </c>
      <c r="AX66" s="524"/>
      <c r="AY66" s="543">
        <f>(SUM($AY$32:AY$57))/($C$6)</f>
        <v>6.1875</v>
      </c>
      <c r="AZ66" s="524"/>
      <c r="BA66" s="4650" t="s">
        <v>367</v>
      </c>
      <c r="BB66" s="4650"/>
      <c r="BC66" s="4650"/>
      <c r="BD66" s="4650"/>
      <c r="BE66" s="4650"/>
      <c r="BF66" s="4650"/>
      <c r="BG66" s="107"/>
      <c r="BH66" s="107"/>
      <c r="BI66" s="107"/>
      <c r="BJ66" s="107"/>
      <c r="BK66" s="329"/>
      <c r="BL66" s="329"/>
      <c r="BM66" s="329"/>
      <c r="BN66" s="329"/>
      <c r="BO66" s="329"/>
      <c r="BP66" s="329"/>
      <c r="BQ66" s="329"/>
      <c r="BR66" s="329"/>
      <c r="BS66" s="329"/>
      <c r="BT66" s="329"/>
      <c r="BU66" s="329"/>
      <c r="BV66" s="329"/>
      <c r="BW66" s="329"/>
      <c r="BX66" s="329"/>
      <c r="BY66" s="329"/>
      <c r="BZ66" s="329"/>
      <c r="CA66" s="3472"/>
      <c r="CB66" s="3472"/>
    </row>
    <row r="67" spans="1:80" ht="15" customHeight="1">
      <c r="A67" s="544"/>
      <c r="B67" s="2053" t="s">
        <v>187</v>
      </c>
      <c r="C67" s="3391">
        <v>500</v>
      </c>
      <c r="D67" s="4746" t="s">
        <v>188</v>
      </c>
      <c r="E67" s="4747"/>
      <c r="F67" s="4748"/>
      <c r="G67" s="4891" t="s">
        <v>160</v>
      </c>
      <c r="H67" s="4748"/>
      <c r="I67" s="2377">
        <f>1000+SUM($AX32:$AX61)/I66</f>
        <v>1017.25</v>
      </c>
      <c r="J67" s="4949"/>
      <c r="K67" s="4949"/>
      <c r="L67" s="4949"/>
      <c r="M67" s="4949"/>
      <c r="N67" s="4949"/>
      <c r="O67" s="2378">
        <f>1000+SUM($AX32:$AX57)/$O66</f>
        <v>1015.4897959183673</v>
      </c>
      <c r="P67" s="4745"/>
      <c r="Q67" s="4745"/>
      <c r="R67" s="4745"/>
      <c r="S67" s="4745"/>
      <c r="T67" s="4745"/>
      <c r="U67" s="2379">
        <v>1000</v>
      </c>
      <c r="V67" s="4940"/>
      <c r="W67" s="4940"/>
      <c r="X67" s="4940"/>
      <c r="Y67" s="4940"/>
      <c r="Z67" s="4940"/>
      <c r="AA67" s="106"/>
      <c r="AB67" s="106"/>
      <c r="AC67" s="524"/>
      <c r="AD67" s="524"/>
      <c r="AE67" s="524"/>
      <c r="AF67" s="524"/>
      <c r="AG67" s="524"/>
      <c r="AH67" s="524"/>
      <c r="AI67" s="542"/>
      <c r="AJ67" s="542"/>
      <c r="AK67" s="542"/>
      <c r="AL67" s="542"/>
      <c r="AM67" s="542"/>
      <c r="AN67" s="542"/>
      <c r="AO67" s="542"/>
      <c r="AP67" s="542"/>
      <c r="AQ67" s="542"/>
      <c r="AR67" s="524"/>
      <c r="AS67" s="524"/>
      <c r="AT67" s="524"/>
      <c r="AU67" s="524"/>
      <c r="AV67" s="524"/>
      <c r="AW67" s="3539" t="s">
        <v>345</v>
      </c>
      <c r="AX67" s="524"/>
      <c r="AY67" s="545">
        <f>(1.079*(AY58+AY59+AY60+AY61+AY62)/C6)</f>
        <v>0</v>
      </c>
      <c r="AZ67" s="546"/>
      <c r="BA67" s="4415" t="s">
        <v>210</v>
      </c>
      <c r="BB67" s="4415"/>
      <c r="BC67" s="4415"/>
      <c r="BD67" s="4415"/>
      <c r="BE67" s="4415"/>
      <c r="BF67" s="4415"/>
      <c r="BG67" s="3430"/>
      <c r="BH67" s="107"/>
      <c r="BI67" s="107"/>
      <c r="BJ67" s="107"/>
      <c r="BK67" s="329"/>
      <c r="BL67" s="329"/>
      <c r="BM67" s="329"/>
      <c r="BN67" s="329"/>
      <c r="BO67" s="329"/>
      <c r="BP67" s="329"/>
      <c r="BQ67" s="329"/>
      <c r="BR67" s="329"/>
      <c r="BS67" s="329"/>
      <c r="BT67" s="329"/>
      <c r="BU67" s="329"/>
      <c r="BV67" s="329"/>
      <c r="BW67" s="329"/>
      <c r="BX67" s="329"/>
      <c r="BY67" s="329"/>
      <c r="BZ67" s="329"/>
      <c r="CA67" s="3472"/>
      <c r="CB67" s="3472"/>
    </row>
    <row r="68" spans="1:80" ht="15" customHeight="1">
      <c r="A68" s="492"/>
      <c r="B68" s="2053" t="s">
        <v>189</v>
      </c>
      <c r="C68" s="4737" t="str">
        <f>FIXED(C65*C67/1000)&amp;"g or "&amp;FIXED(C65*C67/(1000*'Beer Data Sheet'!O20))&amp;" level 5ml tsp."</f>
        <v>3.15g or 1.00 level 5ml tsp.</v>
      </c>
      <c r="D68" s="4738"/>
      <c r="E68" s="4738"/>
      <c r="F68" s="4739"/>
      <c r="G68" s="4740" t="s">
        <v>163</v>
      </c>
      <c r="H68" s="4741"/>
      <c r="I68" s="3034">
        <v>90</v>
      </c>
      <c r="J68" s="1868">
        <v>60</v>
      </c>
      <c r="K68" s="1868">
        <v>45</v>
      </c>
      <c r="L68" s="1868">
        <v>30</v>
      </c>
      <c r="M68" s="1868">
        <v>15</v>
      </c>
      <c r="N68" s="1868">
        <v>0</v>
      </c>
      <c r="O68" s="3035">
        <v>60</v>
      </c>
      <c r="P68" s="1869">
        <f>J68</f>
        <v>60</v>
      </c>
      <c r="Q68" s="1869">
        <f>K68</f>
        <v>45</v>
      </c>
      <c r="R68" s="1869">
        <f>L68</f>
        <v>30</v>
      </c>
      <c r="S68" s="1869">
        <f>M68</f>
        <v>15</v>
      </c>
      <c r="T68" s="1869">
        <f>N68</f>
        <v>0</v>
      </c>
      <c r="U68" s="3036">
        <v>45</v>
      </c>
      <c r="V68" s="1868">
        <f>P68</f>
        <v>60</v>
      </c>
      <c r="W68" s="1868">
        <f>Q68</f>
        <v>45</v>
      </c>
      <c r="X68" s="1868">
        <f>R68</f>
        <v>30</v>
      </c>
      <c r="Y68" s="1868">
        <f>S68</f>
        <v>15</v>
      </c>
      <c r="Z68" s="1868">
        <f>T68</f>
        <v>0</v>
      </c>
      <c r="AA68" s="106"/>
      <c r="AB68" s="106"/>
      <c r="AC68" s="524"/>
      <c r="AD68" s="524"/>
      <c r="AE68" s="524"/>
      <c r="AF68" s="524"/>
      <c r="AG68" s="524"/>
      <c r="AH68" s="524"/>
      <c r="AI68" s="542"/>
      <c r="AJ68" s="542"/>
      <c r="AK68" s="542"/>
      <c r="AL68" s="542"/>
      <c r="AM68" s="542"/>
      <c r="AN68" s="542"/>
      <c r="AO68" s="542"/>
      <c r="AP68" s="542"/>
      <c r="AQ68" s="542"/>
      <c r="AR68" s="524"/>
      <c r="AS68" s="524"/>
      <c r="AT68" s="158">
        <f>L81*60+M81</f>
        <v>615</v>
      </c>
      <c r="AU68" s="159">
        <f>N81*60+O81</f>
        <v>615</v>
      </c>
      <c r="AV68" s="160">
        <f>P81*60+Q81</f>
        <v>615</v>
      </c>
      <c r="AW68" s="3539" t="s">
        <v>346</v>
      </c>
      <c r="AX68" s="524"/>
      <c r="AY68" s="161">
        <f>(1.079*(AY58+AY59+AY60+AY61+AY62+C65*(C6*0.375))/C6)</f>
        <v>2.5491375000000001</v>
      </c>
      <c r="AZ68" s="524"/>
      <c r="BA68" s="4591" t="s">
        <v>214</v>
      </c>
      <c r="BB68" s="4591"/>
      <c r="BC68" s="4591"/>
      <c r="BD68" s="4591"/>
      <c r="BE68" s="4591"/>
      <c r="BF68" s="4591"/>
      <c r="BG68" s="1427"/>
      <c r="BH68" s="107"/>
      <c r="BI68" s="107"/>
      <c r="BJ68" s="107"/>
      <c r="BK68" s="329"/>
      <c r="BL68" s="329"/>
      <c r="BM68" s="329"/>
      <c r="BN68" s="329"/>
      <c r="BO68" s="329"/>
      <c r="BP68" s="329"/>
      <c r="BQ68" s="329"/>
      <c r="BR68" s="329"/>
      <c r="BS68" s="329"/>
      <c r="BT68" s="329"/>
      <c r="BU68" s="329"/>
      <c r="BV68" s="329"/>
      <c r="BW68" s="329"/>
      <c r="BX68" s="329"/>
      <c r="BY68" s="329"/>
      <c r="BZ68" s="329"/>
      <c r="CA68" s="3472"/>
      <c r="CB68" s="3472"/>
    </row>
    <row r="69" spans="1:80" ht="15" customHeight="1">
      <c r="A69" s="492"/>
      <c r="B69" s="2061" t="s">
        <v>1715</v>
      </c>
      <c r="C69" s="2389">
        <f>C65*'Beer Data Sheet'!AF3+VLOOKUP(H6,'Beer Data Sheet'!AE6:AF49,2)</f>
        <v>2.5275263157894736</v>
      </c>
      <c r="D69" s="2544" t="s">
        <v>184</v>
      </c>
      <c r="E69" s="2540">
        <f>SUM(C32:$C$62)+C6*C65</f>
        <v>1034.9000000000001</v>
      </c>
      <c r="F69" s="2545">
        <f>AY65+SUM(AX32:AX63)</f>
        <v>244.08750000000001</v>
      </c>
      <c r="G69" s="4916" t="s">
        <v>165</v>
      </c>
      <c r="H69" s="4917"/>
      <c r="I69" s="2992">
        <f t="shared" ref="I69:N69" si="79">I70*AC65/($I66*10)</f>
        <v>112.90533192700524</v>
      </c>
      <c r="J69" s="2380">
        <f t="shared" si="79"/>
        <v>0</v>
      </c>
      <c r="K69" s="2381">
        <f t="shared" si="79"/>
        <v>0</v>
      </c>
      <c r="L69" s="2382">
        <f t="shared" si="79"/>
        <v>0</v>
      </c>
      <c r="M69" s="2382">
        <f t="shared" si="79"/>
        <v>10.474517198379178</v>
      </c>
      <c r="N69" s="2993">
        <f t="shared" si="79"/>
        <v>0</v>
      </c>
      <c r="O69" s="2992">
        <f t="shared" ref="O69:T69" si="80">O70*AI65/($O66*10)</f>
        <v>96.287869052579424</v>
      </c>
      <c r="P69" s="2382">
        <f t="shared" si="80"/>
        <v>0</v>
      </c>
      <c r="Q69" s="2383">
        <f t="shared" si="80"/>
        <v>0</v>
      </c>
      <c r="R69" s="2993">
        <f t="shared" si="80"/>
        <v>0</v>
      </c>
      <c r="S69" s="2993">
        <f t="shared" si="80"/>
        <v>9.5556634509585958</v>
      </c>
      <c r="T69" s="2993">
        <f t="shared" si="80"/>
        <v>0</v>
      </c>
      <c r="U69" s="2992">
        <f>U70*AO65/($U66*10)</f>
        <v>213.3444321843277</v>
      </c>
      <c r="V69" s="2382">
        <f>V70*AP65/(U66*10)</f>
        <v>0</v>
      </c>
      <c r="W69" s="2383">
        <f>W70*AQ65/(U66*10)</f>
        <v>0</v>
      </c>
      <c r="X69" s="2993">
        <f>X70*AR65/($U66*10)</f>
        <v>0</v>
      </c>
      <c r="Y69" s="2993">
        <f>Y70*AS65/($U66*10)</f>
        <v>23.064190030993831</v>
      </c>
      <c r="Z69" s="2993">
        <f>Z70*AT65/($U66*10)</f>
        <v>0</v>
      </c>
      <c r="AA69" s="106"/>
      <c r="AB69" s="106"/>
      <c r="AC69" s="524"/>
      <c r="AD69" s="524"/>
      <c r="AE69" s="524"/>
      <c r="AF69" s="524"/>
      <c r="AG69" s="524"/>
      <c r="AH69" s="524"/>
      <c r="AI69" s="542"/>
      <c r="AJ69" s="542"/>
      <c r="AK69" s="542"/>
      <c r="AL69" s="542"/>
      <c r="AM69" s="542"/>
      <c r="AN69" s="542"/>
      <c r="AO69" s="542"/>
      <c r="AP69" s="542"/>
      <c r="AQ69" s="542"/>
      <c r="AR69" s="524"/>
      <c r="AS69" s="524"/>
      <c r="AT69" s="461">
        <f>AT74-J68</f>
        <v>645</v>
      </c>
      <c r="AU69" s="463">
        <f>AU74-P68</f>
        <v>615</v>
      </c>
      <c r="AV69" s="464">
        <f>AV74-V68</f>
        <v>600</v>
      </c>
      <c r="AW69" s="524"/>
      <c r="AX69" s="524"/>
      <c r="AY69" s="549"/>
      <c r="AZ69" s="524"/>
      <c r="BA69" s="4591" t="s">
        <v>1776</v>
      </c>
      <c r="BB69" s="4591"/>
      <c r="BC69" s="4591"/>
      <c r="BD69" s="4591"/>
      <c r="BE69" s="4591"/>
      <c r="BF69" s="4591"/>
      <c r="BG69" s="1427"/>
      <c r="BH69" s="107"/>
      <c r="BI69" s="107"/>
      <c r="BJ69" s="107"/>
      <c r="BK69" s="329"/>
      <c r="BL69" s="329"/>
      <c r="BM69" s="329"/>
      <c r="BN69" s="329"/>
      <c r="BO69" s="329"/>
      <c r="BP69" s="329"/>
      <c r="BQ69" s="329"/>
      <c r="BR69" s="329"/>
      <c r="BS69" s="329"/>
      <c r="BT69" s="329"/>
      <c r="BU69" s="329"/>
      <c r="BV69" s="329"/>
      <c r="BW69" s="329"/>
      <c r="BX69" s="329"/>
      <c r="BY69" s="329"/>
      <c r="BZ69" s="329"/>
      <c r="CA69" s="3472"/>
      <c r="CB69" s="3472"/>
    </row>
    <row r="70" spans="1:80" ht="15" customHeight="1">
      <c r="A70" s="492"/>
      <c r="B70" s="4898" t="s">
        <v>347</v>
      </c>
      <c r="C70" s="4899"/>
      <c r="D70" s="2544" t="s">
        <v>190</v>
      </c>
      <c r="E70" s="2542">
        <f>(SUM(E32:E62)+E65)/100</f>
        <v>0.99999999999999989</v>
      </c>
      <c r="F70" s="2543">
        <f>SUM(F32:F65)/100</f>
        <v>1</v>
      </c>
      <c r="G70" s="4914" t="s">
        <v>1678</v>
      </c>
      <c r="H70" s="4915"/>
      <c r="I70" s="2994">
        <f>165*POWER(0.000125,0.001*($I67-1000))*(1-EXP(-$C123*$I68))/$D123</f>
        <v>33.118897365254867</v>
      </c>
      <c r="J70" s="2384">
        <f>165*POWER(0.000125,0.001*($I67-1000))*(1-EXP(-$C123*$J68))/$D123</f>
        <v>30.960371375403454</v>
      </c>
      <c r="K70" s="2385">
        <f>165*POWER(0.000125,0.001*($I67-1000))*(1-EXP(-$C123*$K68))/$D123</f>
        <v>28.420946505663505</v>
      </c>
      <c r="L70" s="2386">
        <f>165*POWER(0.000125,0.001*($I67-1000))*(1-EXP(-$C123*$L68))/$D123</f>
        <v>23.793812708331121</v>
      </c>
      <c r="M70" s="2386">
        <f>165*POWER(0.000125,0.001*($I67-1000))*(1-EXP(-$C123*$M68))/$D123</f>
        <v>15.362625224289463</v>
      </c>
      <c r="N70" s="2995">
        <f>165*POWER(0.000125,0.001*($I67-1000))*(1-EXP(-$C123*$N68))/$D123</f>
        <v>0</v>
      </c>
      <c r="O70" s="2996">
        <f>165*POWER(0.000125,0.001*($O67-1000))*(1-EXP(-$C123*$O68))/$D123</f>
        <v>31.454037223842612</v>
      </c>
      <c r="P70" s="2386">
        <f>165*POWER(0.000125,0.001*($O67-1000))*(1-EXP(-$C123*$P68))/$D123</f>
        <v>31.454037223842612</v>
      </c>
      <c r="Q70" s="2387">
        <f>165*POWER(0.000125,0.001*($O67-1000))*(1-EXP(-$C123*$Q68))/$D123</f>
        <v>28.87412100089287</v>
      </c>
      <c r="R70" s="2995">
        <f>165*POWER(0.000125,0.001*($O67-1000))*(1-EXP(-$C123*$R68))/$D123</f>
        <v>24.173207147623678</v>
      </c>
      <c r="S70" s="2995">
        <f>165*POWER(0.000125,0.001*($O67-1000))*(1-EXP(-$C123*$S68))/$D123</f>
        <v>15.607583636565705</v>
      </c>
      <c r="T70" s="2995">
        <f>165*POWER(0.000125,0.001*($O67-1000))*(1-EXP(-$C123*$T68))/$D123</f>
        <v>0</v>
      </c>
      <c r="U70" s="2997">
        <f>165*POWER(0.000125,0.001*($U67-1000))*(1-EXP(-$C123*$U68))/$D123</f>
        <v>33.186911673117642</v>
      </c>
      <c r="V70" s="2386">
        <f>165*POWER(0.000125,0.001*($U67-1000))*(1-EXP(-$C123*$V68))/$D123</f>
        <v>36.152177760782394</v>
      </c>
      <c r="W70" s="2387">
        <f>165*POWER(0.000125,0.001*($U67-1000))*(1-EXP(-$C123*$W68))/$D123</f>
        <v>33.186911673117642</v>
      </c>
      <c r="X70" s="2995">
        <f>165*POWER(0.000125,0.001*($U67-1000))*(1-EXP(-$C123*$X68))/$D123</f>
        <v>27.783844586623285</v>
      </c>
      <c r="Y70" s="2995">
        <f>165*POWER(0.000125,0.001*($U67-1000))*(1-EXP(-$C123*$Y68))/$D123</f>
        <v>17.938814468550756</v>
      </c>
      <c r="Z70" s="2995">
        <f>165*POWER(0.000125,0.001*($U67-1000))*(1-EXP(-$C123*$Z68))/$D123</f>
        <v>0</v>
      </c>
      <c r="AA70" s="106"/>
      <c r="AB70" s="106"/>
      <c r="AC70" s="524"/>
      <c r="AD70" s="524"/>
      <c r="AE70" s="524"/>
      <c r="AF70" s="524"/>
      <c r="AG70" s="524"/>
      <c r="AH70" s="524"/>
      <c r="AI70" s="542"/>
      <c r="AJ70" s="542"/>
      <c r="AK70" s="542"/>
      <c r="AL70" s="542"/>
      <c r="AM70" s="542"/>
      <c r="AN70" s="542"/>
      <c r="AO70" s="542"/>
      <c r="AP70" s="542"/>
      <c r="AQ70" s="542"/>
      <c r="AR70" s="524"/>
      <c r="AS70" s="524"/>
      <c r="AT70" s="461">
        <f>AT74-K68</f>
        <v>660</v>
      </c>
      <c r="AU70" s="463">
        <f>AU74-Q68</f>
        <v>630</v>
      </c>
      <c r="AV70" s="464">
        <f>AV74-W68</f>
        <v>615</v>
      </c>
      <c r="AW70" s="524"/>
      <c r="AX70" s="3539" t="s">
        <v>348</v>
      </c>
      <c r="AY70" s="550">
        <f>(AY65+SUM(AX32:AX62))/C6</f>
        <v>10.612500000000001</v>
      </c>
      <c r="AZ70" s="527" t="s">
        <v>349</v>
      </c>
      <c r="BA70" s="4197" t="s">
        <v>221</v>
      </c>
      <c r="BB70" s="4197"/>
      <c r="BC70" s="4197"/>
      <c r="BD70" s="4197"/>
      <c r="BE70" s="4197"/>
      <c r="BF70" s="4197"/>
      <c r="BG70" s="1427"/>
      <c r="BH70" s="107"/>
      <c r="BI70" s="107"/>
      <c r="BJ70" s="107"/>
      <c r="BK70" s="329"/>
      <c r="BL70" s="329"/>
      <c r="BM70" s="329"/>
      <c r="BN70" s="329"/>
      <c r="BO70" s="329"/>
      <c r="BP70" s="329"/>
      <c r="BQ70" s="329"/>
      <c r="BR70" s="329"/>
      <c r="BS70" s="329"/>
      <c r="BT70" s="329"/>
      <c r="BU70" s="329"/>
      <c r="BV70" s="329"/>
      <c r="BW70" s="329"/>
      <c r="BX70" s="329"/>
      <c r="BY70" s="329"/>
      <c r="BZ70" s="329"/>
      <c r="CA70" s="3472"/>
      <c r="CB70" s="3472"/>
    </row>
    <row r="71" spans="1:80" ht="15" customHeight="1">
      <c r="A71" s="492"/>
      <c r="B71" s="2062" t="s">
        <v>202</v>
      </c>
      <c r="C71" s="2539" t="s">
        <v>203</v>
      </c>
      <c r="D71" s="4725" t="s">
        <v>204</v>
      </c>
      <c r="E71" s="4725"/>
      <c r="F71" s="4726"/>
      <c r="G71" s="4902" t="s">
        <v>352</v>
      </c>
      <c r="H71" s="4903"/>
      <c r="I71" s="2998">
        <f t="shared" ref="I71:N71" si="81">I69*$I66/$C6</f>
        <v>53.998202225959027</v>
      </c>
      <c r="J71" s="2999">
        <f t="shared" si="81"/>
        <v>0</v>
      </c>
      <c r="K71" s="2999">
        <f t="shared" si="81"/>
        <v>0</v>
      </c>
      <c r="L71" s="3000">
        <f t="shared" si="81"/>
        <v>0</v>
      </c>
      <c r="M71" s="3000">
        <f t="shared" si="81"/>
        <v>5.0095517035726509</v>
      </c>
      <c r="N71" s="3001">
        <f t="shared" si="81"/>
        <v>0</v>
      </c>
      <c r="O71" s="3002">
        <f>(O69*$O66/$C6)</f>
        <v>51.283756343221647</v>
      </c>
      <c r="P71" s="3000">
        <f>P69*$O66/$C6</f>
        <v>0</v>
      </c>
      <c r="Q71" s="3003">
        <f>Q69*$O66/$C6</f>
        <v>0</v>
      </c>
      <c r="R71" s="3001">
        <f>R69*$O66/$C6</f>
        <v>0</v>
      </c>
      <c r="S71" s="3001">
        <f>S69*$O66/$C6</f>
        <v>5.089429446706208</v>
      </c>
      <c r="T71" s="3001">
        <f>T69*$O66/$C6</f>
        <v>0</v>
      </c>
      <c r="U71" s="2998">
        <f>U69*$U66/$C6</f>
        <v>32.465457071528128</v>
      </c>
      <c r="V71" s="2999">
        <f>V69*U66/$C6</f>
        <v>0</v>
      </c>
      <c r="W71" s="3004">
        <f>W69*U66/$C6</f>
        <v>0</v>
      </c>
      <c r="X71" s="3001">
        <f>X69*U66/$C6</f>
        <v>0</v>
      </c>
      <c r="Y71" s="3001">
        <f>Y69*U66/$C6</f>
        <v>3.5097680481947133</v>
      </c>
      <c r="Z71" s="3001">
        <f>Z69*$U66/$C6</f>
        <v>0</v>
      </c>
      <c r="AA71" s="106"/>
      <c r="AB71" s="106"/>
      <c r="AC71" s="524"/>
      <c r="AD71" s="524"/>
      <c r="AE71" s="524"/>
      <c r="AF71" s="524"/>
      <c r="AG71" s="524"/>
      <c r="AH71" s="524"/>
      <c r="AI71" s="542"/>
      <c r="AJ71" s="542"/>
      <c r="AK71" s="542"/>
      <c r="AL71" s="542"/>
      <c r="AM71" s="542"/>
      <c r="AN71" s="542"/>
      <c r="AO71" s="542"/>
      <c r="AP71" s="542"/>
      <c r="AQ71" s="542"/>
      <c r="AR71" s="542"/>
      <c r="AS71" s="542"/>
      <c r="AT71" s="461">
        <f>AT74-L68</f>
        <v>675</v>
      </c>
      <c r="AU71" s="463">
        <f>AU74-R68</f>
        <v>645</v>
      </c>
      <c r="AV71" s="464">
        <f>AV74-X68</f>
        <v>630</v>
      </c>
      <c r="AW71" s="524"/>
      <c r="AX71" s="3539" t="s">
        <v>213</v>
      </c>
      <c r="AY71" s="552">
        <f>SUM(AX32:AX62)/C6</f>
        <v>8.25</v>
      </c>
      <c r="AZ71" s="553" t="s">
        <v>349</v>
      </c>
      <c r="BA71" s="107"/>
      <c r="BB71" s="107"/>
      <c r="BC71" s="107"/>
      <c r="BD71" s="107"/>
      <c r="BE71" s="107"/>
      <c r="BF71" s="107"/>
      <c r="BG71" s="1427"/>
      <c r="BH71" s="107"/>
      <c r="BI71" s="107"/>
      <c r="BJ71" s="107"/>
      <c r="BK71" s="329"/>
      <c r="BL71" s="329"/>
      <c r="BM71" s="329"/>
      <c r="BN71" s="329"/>
      <c r="BO71" s="329"/>
      <c r="BP71" s="329"/>
      <c r="BQ71" s="329"/>
      <c r="BR71" s="329"/>
      <c r="BS71" s="329"/>
      <c r="BT71" s="329"/>
      <c r="BU71" s="329"/>
      <c r="BV71" s="329"/>
      <c r="BW71" s="329"/>
      <c r="BX71" s="329"/>
      <c r="BY71" s="329"/>
      <c r="BZ71" s="329"/>
      <c r="CA71" s="3472"/>
      <c r="CB71" s="3472"/>
    </row>
    <row r="72" spans="1:80" ht="15.75" customHeight="1">
      <c r="A72" s="492"/>
      <c r="B72" s="2050" t="s">
        <v>350</v>
      </c>
      <c r="C72" s="2390">
        <v>75</v>
      </c>
      <c r="D72" s="4837" t="s">
        <v>351</v>
      </c>
      <c r="E72" s="4837"/>
      <c r="F72" s="4838"/>
      <c r="G72" s="4858" t="s">
        <v>353</v>
      </c>
      <c r="H72" s="4859"/>
      <c r="I72" s="4812" t="str">
        <f>FIXED((I71+J71+K71+L71+M71+N71),1)&amp;" ̸ "&amp;FIXED(I64*'Beer Data Sheet'!R16*'Beer Data Sheet'!T16/('Beer Data Sheet'!O16*C6),1)&amp;" EBU"</f>
        <v>59.0 ̸ 0.0 EBU</v>
      </c>
      <c r="J72" s="4813"/>
      <c r="K72" s="4813"/>
      <c r="L72" s="4813"/>
      <c r="M72" s="4813"/>
      <c r="N72" s="4814"/>
      <c r="O72" s="4812" t="str">
        <f>FIXED((O71+P71+Q71+R71+S71+T71),1)&amp;" ̸ "&amp;FIXED(O64*'Beer Data Sheet'!R16*'Beer Data Sheet'!T16/('Beer Data Sheet'!O16*C6),1)&amp;" EBU"</f>
        <v>56.4 ̸ 0.0 EBU</v>
      </c>
      <c r="P72" s="4813"/>
      <c r="Q72" s="4813"/>
      <c r="R72" s="4813"/>
      <c r="S72" s="4813"/>
      <c r="T72" s="4814"/>
      <c r="U72" s="4812" t="str">
        <f>FIXED((U71+V71+W71+X71+Y71+Z71),1)&amp;" ̸ "&amp;FIXED(U64*'Beer Data Sheet'!R16*'Beer Data Sheet'!T16/('Beer Data Sheet'!R16*C6),1)&amp;" EBU"</f>
        <v>36.0 ̸ 0.0 EBU</v>
      </c>
      <c r="V72" s="4813"/>
      <c r="W72" s="4813"/>
      <c r="X72" s="4813"/>
      <c r="Y72" s="4813"/>
      <c r="Z72" s="4814"/>
      <c r="AA72" s="106"/>
      <c r="AB72" s="106"/>
      <c r="AC72" s="524"/>
      <c r="AD72" s="524"/>
      <c r="AE72" s="524"/>
      <c r="AF72" s="524"/>
      <c r="AG72" s="524"/>
      <c r="AH72" s="524"/>
      <c r="AI72" s="542"/>
      <c r="AJ72" s="542"/>
      <c r="AK72" s="542"/>
      <c r="AL72" s="542"/>
      <c r="AM72" s="542"/>
      <c r="AN72" s="542"/>
      <c r="AO72" s="542"/>
      <c r="AP72" s="542"/>
      <c r="AQ72" s="542"/>
      <c r="AR72" s="542"/>
      <c r="AS72" s="542"/>
      <c r="AT72" s="461">
        <f>AT74-M68</f>
        <v>690</v>
      </c>
      <c r="AU72" s="463">
        <f>AU74-S68</f>
        <v>660</v>
      </c>
      <c r="AV72" s="464">
        <f>AV74-Y68</f>
        <v>645</v>
      </c>
      <c r="AW72" s="524"/>
      <c r="AX72" s="3539" t="s">
        <v>215</v>
      </c>
      <c r="AY72" s="552">
        <f>(AY70-AY65/C6-AY66-AY67)</f>
        <v>2.0625</v>
      </c>
      <c r="AZ72" s="527" t="s">
        <v>354</v>
      </c>
      <c r="BA72" s="4693" t="str">
        <f>"1 level 5ml tsp sugar = "&amp;'Beer Data Sheet'!O20&amp;"g"</f>
        <v>1 level 5ml tsp sugar = 3.15g</v>
      </c>
      <c r="BB72" s="4693"/>
      <c r="BC72" s="4693"/>
      <c r="BD72" s="4609" t="s">
        <v>1762</v>
      </c>
      <c r="BE72" s="4609"/>
      <c r="BF72" s="107"/>
      <c r="BG72" s="107"/>
      <c r="BH72" s="107"/>
      <c r="BI72" s="107"/>
      <c r="BJ72" s="107"/>
      <c r="BK72" s="329"/>
      <c r="BL72" s="329"/>
      <c r="BM72" s="329"/>
      <c r="BN72" s="329"/>
      <c r="BO72" s="329"/>
      <c r="BP72" s="329"/>
      <c r="BQ72" s="329"/>
      <c r="BR72" s="329"/>
      <c r="BS72" s="329"/>
      <c r="BT72" s="329"/>
      <c r="BU72" s="329"/>
      <c r="BV72" s="329"/>
      <c r="BW72" s="329"/>
      <c r="BX72" s="329"/>
      <c r="BY72" s="329"/>
      <c r="BZ72" s="329"/>
      <c r="CA72" s="3472"/>
      <c r="CB72" s="3472"/>
    </row>
    <row r="73" spans="1:80" ht="15.75" customHeight="1">
      <c r="A73" s="492"/>
      <c r="B73" s="2051" t="s">
        <v>1713</v>
      </c>
      <c r="C73" s="2168" t="str">
        <f>FIXED((100*(1-(AY72/AY71))),1)&amp;"%"</f>
        <v>75.0%</v>
      </c>
      <c r="D73" s="4637" t="s">
        <v>1180</v>
      </c>
      <c r="E73" s="4865"/>
      <c r="F73" s="2048" t="str">
        <f>FIXED(100*(1-(((0.1808*AY71)+(0.8192*AY72))/AY71)),1)&amp;"%"</f>
        <v>61.4%</v>
      </c>
      <c r="G73" s="4866" t="s">
        <v>355</v>
      </c>
      <c r="H73" s="4867"/>
      <c r="I73" s="4839" t="str">
        <f>AD73&amp;" EBU"</f>
        <v>59.0 EBU</v>
      </c>
      <c r="J73" s="4840"/>
      <c r="K73" s="4840"/>
      <c r="L73" s="4840"/>
      <c r="M73" s="4840"/>
      <c r="N73" s="4841"/>
      <c r="O73" s="4945" t="str">
        <f>AJ73&amp;" EBU"</f>
        <v>56.4 EBU</v>
      </c>
      <c r="P73" s="4946"/>
      <c r="Q73" s="4946"/>
      <c r="R73" s="4946"/>
      <c r="S73" s="4946"/>
      <c r="T73" s="4947"/>
      <c r="U73" s="4807" t="str">
        <f>AP73&amp;" EBU"</f>
        <v>36.0 EBU</v>
      </c>
      <c r="V73" s="4808"/>
      <c r="W73" s="4808"/>
      <c r="X73" s="4808"/>
      <c r="Y73" s="4808"/>
      <c r="Z73" s="4809"/>
      <c r="AA73" s="106"/>
      <c r="AB73" s="106"/>
      <c r="AC73" s="524"/>
      <c r="AD73" s="437" t="str">
        <f>FIXED((I71+J71+K71+L71+M71+N71+(I64*'Beer Data Sheet'!R16*'Beer Data Sheet'!T16/('Beer Data Sheet'!O16*C6))),1)</f>
        <v>59.0</v>
      </c>
      <c r="AE73" s="437"/>
      <c r="AF73" s="524"/>
      <c r="AG73" s="524"/>
      <c r="AH73" s="524"/>
      <c r="AI73" s="524"/>
      <c r="AJ73" s="437" t="str">
        <f>FIXED((O71+P71+R71+Q71+S71+T71+(O64*'Beer Data Sheet'!R16*'Beer Data Sheet'!T16/('Beer Data Sheet'!O16*C6))),1)</f>
        <v>56.4</v>
      </c>
      <c r="AK73" s="437"/>
      <c r="AL73" s="524"/>
      <c r="AM73" s="524"/>
      <c r="AN73" s="524"/>
      <c r="AO73" s="524"/>
      <c r="AP73" s="437" t="str">
        <f>FIXED((U71+V71+W71+X71+Y71+Z71+(U64*'Beer Data Sheet'!R16*'Beer Data Sheet'!T16/('Beer Data Sheet'!O16*C6))),1)</f>
        <v>36.0</v>
      </c>
      <c r="AQ73" s="437"/>
      <c r="AR73" s="524"/>
      <c r="AS73" s="542"/>
      <c r="AT73" s="461">
        <f>AT74-N68</f>
        <v>705</v>
      </c>
      <c r="AU73" s="463">
        <f>AU74-T68</f>
        <v>675</v>
      </c>
      <c r="AV73" s="464">
        <f>AV74-Z68</f>
        <v>660</v>
      </c>
      <c r="AW73" s="524"/>
      <c r="AX73" s="3539" t="s">
        <v>220</v>
      </c>
      <c r="AY73" s="552">
        <f>(AY70-AY66-AY68)</f>
        <v>1.8758625000000007</v>
      </c>
      <c r="AZ73" s="527" t="s">
        <v>354</v>
      </c>
      <c r="BA73" s="4680" t="s">
        <v>55</v>
      </c>
      <c r="BB73" s="4681"/>
      <c r="BC73" s="4682"/>
      <c r="BD73" s="4684" t="s">
        <v>1872</v>
      </c>
      <c r="BE73" s="4685"/>
      <c r="BF73" s="4685"/>
      <c r="BG73" s="4685"/>
      <c r="BH73" s="4685"/>
      <c r="BI73" s="4685"/>
      <c r="BJ73" s="362"/>
      <c r="BK73" s="329"/>
      <c r="BL73" s="329"/>
      <c r="BM73" s="329"/>
      <c r="BN73" s="329"/>
      <c r="BO73" s="329"/>
      <c r="BP73" s="329"/>
      <c r="BQ73" s="329"/>
      <c r="BR73" s="329"/>
      <c r="BS73" s="329"/>
      <c r="BT73" s="329"/>
      <c r="BU73" s="329"/>
      <c r="BV73" s="329"/>
      <c r="BW73" s="329"/>
      <c r="BX73" s="329"/>
      <c r="BY73" s="329"/>
      <c r="BZ73" s="329"/>
      <c r="CA73" s="3472"/>
      <c r="CB73" s="3472"/>
    </row>
    <row r="74" spans="1:80" ht="15.75" customHeight="1">
      <c r="A74" s="492"/>
      <c r="B74" s="4862" t="s">
        <v>356</v>
      </c>
      <c r="C74" s="4863"/>
      <c r="D74" s="4863"/>
      <c r="E74" s="4863"/>
      <c r="F74" s="4863"/>
      <c r="G74" s="4863"/>
      <c r="H74" s="4864"/>
      <c r="I74" s="4789" t="str">
        <f>"Mashing all the fermetables &amp; then making the extract up to "&amp;I66&amp;" litres (cell I66) &amp; boiled for "&amp;I68&amp;" minutes (cell I68) gives the required bitterness"</f>
        <v>Mashing all the fermetables &amp; then making the extract up to 11 litres (cell I66) &amp; boiled for 90 minutes (cell I68) gives the required bitterness</v>
      </c>
      <c r="J74" s="4790"/>
      <c r="K74" s="4790"/>
      <c r="L74" s="4790"/>
      <c r="M74" s="4790"/>
      <c r="N74" s="4791"/>
      <c r="O74" s="4780" t="str">
        <f>"Omitting any sugars from the mash &amp; then making the extract up to "&amp;O66&amp;" litres (cell O66).   This is then boiled for "&amp;O68&amp;" minutes (cell O68) gives the required bitterness.  Any sugars are added directly to the fermenting vessel &amp; stirred in."</f>
        <v>Omitting any sugars from the mash &amp; then making the extract up to 12.25 litres (cell O66).   This is then boiled for 60 minutes (cell O68) gives the required bitterness.  Any sugars are added directly to the fermenting vessel &amp; stirred in.</v>
      </c>
      <c r="P74" s="4781"/>
      <c r="Q74" s="4781"/>
      <c r="R74" s="4781"/>
      <c r="S74" s="4781"/>
      <c r="T74" s="4782"/>
      <c r="U74" s="4798" t="str">
        <f>"Add the hops to "&amp;U66&amp;" litres (cell U66) of boiling water (suggested minimum vol. of "&amp;FIXED(0.1+AO66/12.3,1)&amp;" litres). After the "&amp;U68&amp;" minute boil (cell U68). Use a sieve ̸ colander capacity of "&amp;FIXED(0.1+AO66/17,1)&amp;" litres minimum to sparge ̸ collect the spent hops."</f>
        <v>Add the hops to 3.5 litres (cell U66) of boiling water (suggested minimum vol. of 3.0 litres). After the 45 minute boil (cell U68). Use a sieve ̸ colander capacity of 2.2 litres minimum to sparge ̸ collect the spent hops.</v>
      </c>
      <c r="V74" s="4799"/>
      <c r="W74" s="4799"/>
      <c r="X74" s="4799"/>
      <c r="Y74" s="4799"/>
      <c r="Z74" s="4800"/>
      <c r="AA74" s="106"/>
      <c r="AB74" s="106"/>
      <c r="AC74" s="524"/>
      <c r="AD74" s="524"/>
      <c r="AE74" s="524"/>
      <c r="AF74" s="524"/>
      <c r="AG74" s="524"/>
      <c r="AH74" s="524"/>
      <c r="AI74" s="524"/>
      <c r="AJ74" s="524"/>
      <c r="AK74" s="524"/>
      <c r="AL74" s="313"/>
      <c r="AM74" s="313"/>
      <c r="AN74" s="313"/>
      <c r="AO74" s="313"/>
      <c r="AP74" s="313"/>
      <c r="AQ74" s="313"/>
      <c r="AR74" s="313"/>
      <c r="AS74" s="313"/>
      <c r="AT74" s="465">
        <f>AT68+I68</f>
        <v>705</v>
      </c>
      <c r="AU74" s="466">
        <f>AU68+O68</f>
        <v>675</v>
      </c>
      <c r="AV74" s="467">
        <f>AV68+U68</f>
        <v>660</v>
      </c>
      <c r="AW74" s="313"/>
      <c r="AX74" s="313"/>
      <c r="AY74" s="163"/>
      <c r="AZ74" s="313"/>
      <c r="BA74" s="563" t="s">
        <v>61</v>
      </c>
      <c r="BB74" s="407" t="s">
        <v>62</v>
      </c>
      <c r="BC74" s="408" t="s">
        <v>63</v>
      </c>
      <c r="BD74" s="4686"/>
      <c r="BE74" s="4685"/>
      <c r="BF74" s="4685"/>
      <c r="BG74" s="4685"/>
      <c r="BH74" s="4685"/>
      <c r="BI74" s="4685"/>
      <c r="BJ74" s="2761"/>
      <c r="BK74" s="329"/>
      <c r="BL74" s="329"/>
      <c r="BM74" s="329"/>
      <c r="BN74" s="329"/>
      <c r="BO74" s="329"/>
      <c r="BP74" s="329"/>
      <c r="BQ74" s="329"/>
      <c r="BR74" s="329"/>
      <c r="BS74" s="329"/>
      <c r="BT74" s="329"/>
      <c r="BU74" s="329"/>
      <c r="BV74" s="329"/>
      <c r="BW74" s="329"/>
      <c r="BX74" s="329"/>
      <c r="BY74" s="329"/>
      <c r="BZ74" s="329"/>
      <c r="CA74" s="3472"/>
      <c r="CB74" s="3472"/>
    </row>
    <row r="75" spans="1:80" ht="15.75" customHeight="1">
      <c r="A75" s="492"/>
      <c r="B75" s="4851" t="s">
        <v>931</v>
      </c>
      <c r="C75" s="4852"/>
      <c r="D75" s="4852"/>
      <c r="E75" s="4852"/>
      <c r="F75" s="4852"/>
      <c r="G75" s="4852"/>
      <c r="H75" s="4853"/>
      <c r="I75" s="4792"/>
      <c r="J75" s="4793"/>
      <c r="K75" s="4793"/>
      <c r="L75" s="4793"/>
      <c r="M75" s="4793"/>
      <c r="N75" s="4794"/>
      <c r="O75" s="4783"/>
      <c r="P75" s="4784"/>
      <c r="Q75" s="4784"/>
      <c r="R75" s="4784"/>
      <c r="S75" s="4784"/>
      <c r="T75" s="4785"/>
      <c r="U75" s="4801"/>
      <c r="V75" s="4802"/>
      <c r="W75" s="4802"/>
      <c r="X75" s="4802"/>
      <c r="Y75" s="4802"/>
      <c r="Z75" s="4803"/>
      <c r="AA75" s="106"/>
      <c r="AB75" s="106"/>
      <c r="AC75" s="313">
        <f>SUM(C32:C45)</f>
        <v>490</v>
      </c>
      <c r="AD75" s="313" t="s">
        <v>358</v>
      </c>
      <c r="AE75" s="313"/>
      <c r="AF75" s="524">
        <f>AC75/1000</f>
        <v>0.49</v>
      </c>
      <c r="AG75" s="524"/>
      <c r="AH75" s="524"/>
      <c r="AI75" s="524">
        <f>AF75</f>
        <v>0.49</v>
      </c>
      <c r="AJ75" s="524"/>
      <c r="AK75" s="524"/>
      <c r="AL75" s="313"/>
      <c r="AM75" s="313"/>
      <c r="AN75" s="313"/>
      <c r="AO75" s="313"/>
      <c r="AP75" s="313"/>
      <c r="AQ75" s="313"/>
      <c r="AR75" s="313"/>
      <c r="AS75" s="313"/>
      <c r="AT75" s="524"/>
      <c r="AU75" s="524"/>
      <c r="AV75" s="524"/>
      <c r="AW75" s="313"/>
      <c r="AX75" s="313"/>
      <c r="AY75" s="313"/>
      <c r="AZ75" s="313"/>
      <c r="BA75" s="407">
        <f>BB75*'Beer Data Sheet'!O20</f>
        <v>9.9224999999999994</v>
      </c>
      <c r="BB75" s="410">
        <v>3.15</v>
      </c>
      <c r="BC75" s="411">
        <f>BB75/'Beer Data Sheet'!O20</f>
        <v>1</v>
      </c>
      <c r="BD75" s="4686"/>
      <c r="BE75" s="4685"/>
      <c r="BF75" s="4685"/>
      <c r="BG75" s="4685"/>
      <c r="BH75" s="4685"/>
      <c r="BI75" s="4685"/>
      <c r="BJ75" s="2761"/>
      <c r="BK75" s="329"/>
      <c r="BL75" s="329"/>
      <c r="BM75" s="329"/>
      <c r="BN75" s="329"/>
      <c r="BO75" s="329"/>
      <c r="BP75" s="329"/>
      <c r="BQ75" s="329"/>
      <c r="BR75" s="329"/>
      <c r="BS75" s="329"/>
      <c r="BT75" s="329"/>
      <c r="BU75" s="329"/>
      <c r="BV75" s="329"/>
      <c r="BW75" s="329"/>
      <c r="BX75" s="329"/>
      <c r="BY75" s="329"/>
      <c r="BZ75" s="329"/>
      <c r="CA75" s="3472"/>
      <c r="CB75" s="3472"/>
    </row>
    <row r="76" spans="1:80" ht="16.5" customHeight="1">
      <c r="A76" s="492"/>
      <c r="B76" s="4851"/>
      <c r="C76" s="4852"/>
      <c r="D76" s="4852"/>
      <c r="E76" s="4852"/>
      <c r="F76" s="4852"/>
      <c r="G76" s="4852"/>
      <c r="H76" s="4853"/>
      <c r="I76" s="4792"/>
      <c r="J76" s="4793"/>
      <c r="K76" s="4793"/>
      <c r="L76" s="4793"/>
      <c r="M76" s="4793"/>
      <c r="N76" s="4794"/>
      <c r="O76" s="4783"/>
      <c r="P76" s="4784"/>
      <c r="Q76" s="4784"/>
      <c r="R76" s="4784"/>
      <c r="S76" s="4784"/>
      <c r="T76" s="4785"/>
      <c r="U76" s="4801"/>
      <c r="V76" s="4802"/>
      <c r="W76" s="4802"/>
      <c r="X76" s="4802"/>
      <c r="Y76" s="4802"/>
      <c r="Z76" s="4803"/>
      <c r="AA76" s="106"/>
      <c r="AB76" s="106"/>
      <c r="AC76" s="313">
        <f>(C46/1.2)</f>
        <v>0</v>
      </c>
      <c r="AD76" s="313" t="s">
        <v>359</v>
      </c>
      <c r="AE76" s="313"/>
      <c r="AF76" s="524">
        <f>AC76/1000</f>
        <v>0</v>
      </c>
      <c r="AG76" s="524"/>
      <c r="AH76" s="524"/>
      <c r="AI76" s="524"/>
      <c r="AJ76" s="524"/>
      <c r="AK76" s="524"/>
      <c r="AL76" s="313"/>
      <c r="AM76" s="313"/>
      <c r="AN76" s="313"/>
      <c r="AO76" s="313"/>
      <c r="AP76" s="313"/>
      <c r="AQ76" s="313"/>
      <c r="AR76" s="542"/>
      <c r="AS76" s="542"/>
      <c r="AT76" s="542"/>
      <c r="AU76" s="542"/>
      <c r="AV76" s="524"/>
      <c r="AW76" s="313"/>
      <c r="AX76" s="313"/>
      <c r="AY76" s="313"/>
      <c r="AZ76" s="313"/>
      <c r="BA76" s="514"/>
      <c r="BB76" s="514"/>
      <c r="BC76" s="514"/>
      <c r="BD76" s="2761"/>
      <c r="BE76" s="2761"/>
      <c r="BF76" s="2761"/>
      <c r="BG76" s="2761"/>
      <c r="BH76" s="2761"/>
      <c r="BI76" s="2761"/>
      <c r="BJ76" s="2761"/>
      <c r="BK76" s="329"/>
      <c r="BL76" s="329"/>
      <c r="BM76" s="329"/>
      <c r="BN76" s="329"/>
      <c r="BO76" s="329"/>
      <c r="BP76" s="329"/>
      <c r="BQ76" s="329"/>
      <c r="BR76" s="329"/>
      <c r="BS76" s="329"/>
      <c r="BT76" s="329"/>
      <c r="BU76" s="329"/>
      <c r="BV76" s="329"/>
      <c r="BW76" s="329"/>
      <c r="BX76" s="329"/>
      <c r="BY76" s="329"/>
      <c r="BZ76" s="329"/>
      <c r="CA76" s="3472"/>
      <c r="CB76" s="3472"/>
    </row>
    <row r="77" spans="1:80" ht="16.5" customHeight="1">
      <c r="A77" s="492"/>
      <c r="B77" s="4851"/>
      <c r="C77" s="4852"/>
      <c r="D77" s="4852"/>
      <c r="E77" s="4852"/>
      <c r="F77" s="4852"/>
      <c r="G77" s="4852"/>
      <c r="H77" s="4853"/>
      <c r="I77" s="4795"/>
      <c r="J77" s="4796"/>
      <c r="K77" s="4796"/>
      <c r="L77" s="4796"/>
      <c r="M77" s="4796"/>
      <c r="N77" s="4797"/>
      <c r="O77" s="4786"/>
      <c r="P77" s="4787"/>
      <c r="Q77" s="4787"/>
      <c r="R77" s="4787"/>
      <c r="S77" s="4787"/>
      <c r="T77" s="4788"/>
      <c r="U77" s="4804"/>
      <c r="V77" s="4805"/>
      <c r="W77" s="4805"/>
      <c r="X77" s="4805"/>
      <c r="Y77" s="4805"/>
      <c r="Z77" s="4806"/>
      <c r="AA77" s="106"/>
      <c r="AB77" s="106"/>
      <c r="AC77" s="313">
        <f>SUM(C47:C48)</f>
        <v>0</v>
      </c>
      <c r="AD77" s="313" t="s">
        <v>360</v>
      </c>
      <c r="AE77" s="313"/>
      <c r="AF77" s="524">
        <f>AC77/1000</f>
        <v>0</v>
      </c>
      <c r="AG77" s="524"/>
      <c r="AH77" s="524"/>
      <c r="AI77" s="524"/>
      <c r="AJ77" s="524"/>
      <c r="AK77" s="524"/>
      <c r="AL77" s="313"/>
      <c r="AM77" s="313"/>
      <c r="AN77" s="313"/>
      <c r="AO77" s="313"/>
      <c r="AP77" s="313"/>
      <c r="AQ77" s="313"/>
      <c r="AR77" s="524"/>
      <c r="AS77" s="524"/>
      <c r="AT77" s="524"/>
      <c r="AU77" s="524"/>
      <c r="AV77" s="524"/>
      <c r="AW77" s="313"/>
      <c r="AX77" s="313"/>
      <c r="AY77" s="313"/>
      <c r="AZ77" s="313"/>
      <c r="BA77" s="4934" t="s">
        <v>211</v>
      </c>
      <c r="BB77" s="4935"/>
      <c r="BC77" s="107"/>
      <c r="BD77" s="107"/>
      <c r="BE77" s="107"/>
      <c r="BF77" s="107"/>
      <c r="BG77" s="107"/>
      <c r="BH77" s="107"/>
      <c r="BI77" s="107"/>
      <c r="BJ77" s="107"/>
      <c r="BK77" s="329"/>
      <c r="BL77" s="329"/>
      <c r="BM77" s="329"/>
      <c r="BN77" s="329"/>
      <c r="BO77" s="329"/>
      <c r="BP77" s="329"/>
      <c r="BQ77" s="329"/>
      <c r="BR77" s="329"/>
      <c r="BS77" s="329"/>
      <c r="BT77" s="329"/>
      <c r="BU77" s="329"/>
      <c r="BV77" s="329"/>
      <c r="BW77" s="329"/>
      <c r="BX77" s="329"/>
      <c r="BY77" s="329"/>
      <c r="BZ77" s="329"/>
      <c r="CA77" s="3472"/>
      <c r="CB77" s="3472"/>
    </row>
    <row r="78" spans="1:80" ht="16.5" customHeight="1">
      <c r="A78" s="492"/>
      <c r="B78" s="4851"/>
      <c r="C78" s="4852"/>
      <c r="D78" s="4852"/>
      <c r="E78" s="4852"/>
      <c r="F78" s="4852"/>
      <c r="G78" s="4852"/>
      <c r="H78" s="4853"/>
      <c r="I78" s="893"/>
      <c r="J78" s="894"/>
      <c r="K78" s="894"/>
      <c r="L78" s="894"/>
      <c r="M78" s="894"/>
      <c r="N78" s="894"/>
      <c r="O78" s="894"/>
      <c r="P78" s="894"/>
      <c r="Q78" s="894"/>
      <c r="R78" s="894"/>
      <c r="S78" s="894"/>
      <c r="T78" s="894"/>
      <c r="U78" s="894"/>
      <c r="V78" s="894"/>
      <c r="W78" s="894"/>
      <c r="X78" s="1805"/>
      <c r="Y78" s="1805"/>
      <c r="Z78" s="1805"/>
      <c r="AA78" s="106"/>
      <c r="AB78" s="106"/>
      <c r="AC78" s="313"/>
      <c r="AD78" s="313"/>
      <c r="AE78" s="313"/>
      <c r="AF78" s="524"/>
      <c r="AG78" s="524"/>
      <c r="AH78" s="524"/>
      <c r="AI78" s="524"/>
      <c r="AJ78" s="524"/>
      <c r="AK78" s="524"/>
      <c r="AL78" s="313"/>
      <c r="AM78" s="313"/>
      <c r="AN78" s="313"/>
      <c r="AO78" s="313"/>
      <c r="AP78" s="313"/>
      <c r="AQ78" s="313"/>
      <c r="AR78" s="313"/>
      <c r="AS78" s="313"/>
      <c r="AT78" s="313"/>
      <c r="AU78" s="313"/>
      <c r="AV78" s="313"/>
      <c r="AW78" s="313"/>
      <c r="AX78" s="313"/>
      <c r="AY78" s="313"/>
      <c r="AZ78" s="313"/>
      <c r="BA78" s="445">
        <f>C65</f>
        <v>6.3</v>
      </c>
      <c r="BB78" s="4687" t="str">
        <f>"grams ̸ litre is equiv. to "&amp;FIXED(BE78*BA78,1)&amp;"g per"</f>
        <v>grams ̸ litre is equiv. to 134.2g per</v>
      </c>
      <c r="BC78" s="4688"/>
      <c r="BD78" s="4689"/>
      <c r="BE78" s="3389">
        <v>21.3</v>
      </c>
      <c r="BF78" s="4690" t="s">
        <v>1726</v>
      </c>
      <c r="BG78" s="4691"/>
      <c r="BH78" s="313"/>
      <c r="BI78" s="107"/>
      <c r="BJ78" s="107"/>
      <c r="BK78" s="329"/>
      <c r="BL78" s="329"/>
      <c r="BM78" s="329"/>
      <c r="BN78" s="329"/>
      <c r="BO78" s="329"/>
      <c r="BP78" s="329"/>
      <c r="BQ78" s="329"/>
      <c r="BR78" s="329"/>
      <c r="BS78" s="329"/>
      <c r="BT78" s="329"/>
      <c r="BU78" s="329"/>
      <c r="BV78" s="329"/>
      <c r="BW78" s="329"/>
      <c r="BX78" s="329"/>
      <c r="BY78" s="329"/>
      <c r="BZ78" s="329"/>
      <c r="CA78" s="3472"/>
      <c r="CB78" s="3472"/>
    </row>
    <row r="79" spans="1:80" ht="14.25" customHeight="1">
      <c r="A79" s="492"/>
      <c r="B79" s="4851"/>
      <c r="C79" s="4852"/>
      <c r="D79" s="4852"/>
      <c r="E79" s="4852"/>
      <c r="F79" s="4852"/>
      <c r="G79" s="4852"/>
      <c r="H79" s="4853"/>
      <c r="I79" s="514"/>
      <c r="J79" s="4847" t="s">
        <v>156</v>
      </c>
      <c r="K79" s="4848"/>
      <c r="L79" s="4647" t="s">
        <v>157</v>
      </c>
      <c r="M79" s="4647"/>
      <c r="N79" s="4648" t="s">
        <v>158</v>
      </c>
      <c r="O79" s="4648"/>
      <c r="P79" s="4653" t="s">
        <v>159</v>
      </c>
      <c r="Q79" s="4653"/>
      <c r="R79" s="564"/>
      <c r="S79" s="2794"/>
      <c r="T79" s="564"/>
      <c r="U79" s="564"/>
      <c r="V79" s="564"/>
      <c r="W79" s="564"/>
      <c r="X79" s="564"/>
      <c r="Y79" s="564"/>
      <c r="Z79" s="564"/>
      <c r="AA79" s="106"/>
      <c r="AB79" s="106"/>
      <c r="AC79" s="313">
        <f>SUM(C49:C57)</f>
        <v>400</v>
      </c>
      <c r="AD79" s="313" t="s">
        <v>361</v>
      </c>
      <c r="AE79" s="313"/>
      <c r="AF79" s="524">
        <f>AC79/1000</f>
        <v>0.4</v>
      </c>
      <c r="AG79" s="524"/>
      <c r="AH79" s="524"/>
      <c r="AI79" s="524">
        <f>AF79</f>
        <v>0.4</v>
      </c>
      <c r="AJ79" s="524"/>
      <c r="AK79" s="524"/>
      <c r="AL79" s="313"/>
      <c r="AM79" s="313"/>
      <c r="AN79" s="313"/>
      <c r="AO79" s="313"/>
      <c r="AP79" s="313"/>
      <c r="AQ79" s="313"/>
      <c r="AR79" s="524"/>
      <c r="AS79" s="524"/>
      <c r="AT79" s="524"/>
      <c r="AU79" s="524"/>
      <c r="AV79" s="524"/>
      <c r="AW79" s="313"/>
      <c r="AX79" s="313"/>
      <c r="AY79" s="313"/>
      <c r="AZ79" s="313"/>
      <c r="BA79" s="107"/>
      <c r="BB79" s="107"/>
      <c r="BC79" s="107"/>
      <c r="BD79" s="107"/>
      <c r="BE79" s="107"/>
      <c r="BF79" s="107"/>
      <c r="BG79" s="107"/>
      <c r="BH79" s="107"/>
      <c r="BI79" s="107"/>
      <c r="BJ79" s="107"/>
      <c r="BK79" s="329"/>
      <c r="BL79" s="329"/>
      <c r="BM79" s="329"/>
      <c r="BN79" s="329"/>
      <c r="BO79" s="329"/>
      <c r="BP79" s="329"/>
      <c r="BQ79" s="329"/>
      <c r="BR79" s="329"/>
      <c r="BS79" s="329"/>
      <c r="BT79" s="329"/>
      <c r="BU79" s="329"/>
      <c r="BV79" s="329"/>
      <c r="BW79" s="329"/>
      <c r="BX79" s="329"/>
      <c r="BY79" s="329"/>
      <c r="BZ79" s="329"/>
      <c r="CA79" s="3472"/>
      <c r="CB79" s="3472"/>
    </row>
    <row r="80" spans="1:80" ht="16.5" customHeight="1">
      <c r="A80" s="492"/>
      <c r="B80" s="4854"/>
      <c r="C80" s="4855"/>
      <c r="D80" s="4855"/>
      <c r="E80" s="4855"/>
      <c r="F80" s="4855"/>
      <c r="G80" s="4855"/>
      <c r="H80" s="4856"/>
      <c r="I80" s="514"/>
      <c r="J80" s="3285"/>
      <c r="K80" s="3286"/>
      <c r="L80" s="3288" t="s">
        <v>1791</v>
      </c>
      <c r="M80" s="3289" t="s">
        <v>1792</v>
      </c>
      <c r="N80" s="3287" t="s">
        <v>1791</v>
      </c>
      <c r="O80" s="3291" t="s">
        <v>1792</v>
      </c>
      <c r="P80" s="3288" t="s">
        <v>1791</v>
      </c>
      <c r="Q80" s="3290" t="s">
        <v>1792</v>
      </c>
      <c r="R80" s="564"/>
      <c r="S80" s="2794"/>
      <c r="T80" s="564"/>
      <c r="U80" s="564"/>
      <c r="V80" s="564"/>
      <c r="W80" s="564"/>
      <c r="X80" s="564"/>
      <c r="Y80" s="564"/>
      <c r="Z80" s="564"/>
      <c r="AA80" s="557"/>
      <c r="AB80" s="557"/>
      <c r="AC80" s="313">
        <f>SUM(C58:C62)/3.3</f>
        <v>0</v>
      </c>
      <c r="AD80" s="313"/>
      <c r="AE80" s="313"/>
      <c r="AF80" s="524">
        <f>AC80/1000</f>
        <v>0</v>
      </c>
      <c r="AG80" s="524"/>
      <c r="AH80" s="524"/>
      <c r="AI80" s="524"/>
      <c r="AJ80" s="524"/>
      <c r="AK80" s="524"/>
      <c r="AL80" s="313"/>
      <c r="AM80" s="313"/>
      <c r="AN80" s="313"/>
      <c r="AO80" s="313"/>
      <c r="AP80" s="313"/>
      <c r="AQ80" s="313"/>
      <c r="AR80" s="524"/>
      <c r="AS80" s="524"/>
      <c r="AT80" s="524"/>
      <c r="AU80" s="524"/>
      <c r="AV80" s="524"/>
      <c r="AW80" s="313"/>
      <c r="AX80" s="313"/>
      <c r="AY80" s="313"/>
      <c r="AZ80" s="313"/>
      <c r="BA80" s="3512" t="s">
        <v>218</v>
      </c>
      <c r="BB80" s="4772" t="s">
        <v>219</v>
      </c>
      <c r="BC80" s="4773"/>
      <c r="BD80" s="4045" t="s">
        <v>1807</v>
      </c>
      <c r="BE80" s="4645"/>
      <c r="BF80" s="2762"/>
      <c r="BG80" s="107"/>
      <c r="BH80" s="107"/>
      <c r="BI80" s="107"/>
      <c r="BJ80" s="107"/>
      <c r="BK80" s="329"/>
      <c r="BL80" s="329"/>
      <c r="BM80" s="329"/>
      <c r="BN80" s="329"/>
      <c r="BO80" s="329"/>
      <c r="BP80" s="329"/>
      <c r="BQ80" s="329"/>
      <c r="BR80" s="329"/>
      <c r="BS80" s="329"/>
      <c r="BT80" s="329"/>
      <c r="BU80" s="329"/>
      <c r="BV80" s="329"/>
      <c r="BW80" s="329"/>
      <c r="BX80" s="329"/>
      <c r="BY80" s="329"/>
      <c r="BZ80" s="329"/>
      <c r="CA80" s="3472"/>
      <c r="CB80" s="3472"/>
    </row>
    <row r="81" spans="1:80" ht="16.5" customHeight="1">
      <c r="A81" s="492"/>
      <c r="B81" s="4844" t="s">
        <v>363</v>
      </c>
      <c r="C81" s="4845"/>
      <c r="D81" s="164">
        <v>2.75</v>
      </c>
      <c r="E81" s="4849" t="s">
        <v>744</v>
      </c>
      <c r="F81" s="4849"/>
      <c r="G81" s="4849"/>
      <c r="H81" s="4850"/>
      <c r="I81" s="514"/>
      <c r="J81" s="4817" t="s">
        <v>161</v>
      </c>
      <c r="K81" s="4818"/>
      <c r="L81" s="2764">
        <v>10</v>
      </c>
      <c r="M81" s="2765">
        <v>15</v>
      </c>
      <c r="N81" s="1891">
        <f>L81</f>
        <v>10</v>
      </c>
      <c r="O81" s="2823">
        <f>M81</f>
        <v>15</v>
      </c>
      <c r="P81" s="2824">
        <f>N81</f>
        <v>10</v>
      </c>
      <c r="Q81" s="2796">
        <f>O81</f>
        <v>15</v>
      </c>
      <c r="R81" s="564"/>
      <c r="S81" s="2794"/>
      <c r="T81" s="564"/>
      <c r="U81" s="564"/>
      <c r="V81" s="564"/>
      <c r="W81" s="564"/>
      <c r="X81" s="564"/>
      <c r="Y81" s="564"/>
      <c r="Z81" s="564"/>
      <c r="AA81" s="359"/>
      <c r="AB81" s="359"/>
      <c r="AC81" s="313"/>
      <c r="AD81" s="313" t="s">
        <v>362</v>
      </c>
      <c r="AE81" s="313"/>
      <c r="AF81" s="313">
        <f>SUM(AF75:AF80)</f>
        <v>0.89</v>
      </c>
      <c r="AG81" s="313"/>
      <c r="AH81" s="313"/>
      <c r="AI81" s="524">
        <f>AI75</f>
        <v>0.49</v>
      </c>
      <c r="AJ81" s="524"/>
      <c r="AK81" s="524"/>
      <c r="AL81" s="313"/>
      <c r="AM81" s="313"/>
      <c r="AN81" s="313"/>
      <c r="AO81" s="313"/>
      <c r="AP81" s="313"/>
      <c r="AQ81" s="313"/>
      <c r="AR81" s="524"/>
      <c r="AS81" s="524"/>
      <c r="AT81" s="524"/>
      <c r="AU81" s="524"/>
      <c r="AV81" s="524"/>
      <c r="AW81" s="313"/>
      <c r="AX81" s="313"/>
      <c r="AY81" s="313"/>
      <c r="AZ81" s="313"/>
      <c r="BA81" s="1671">
        <f>BB81*0.2489/0.262</f>
        <v>0.95</v>
      </c>
      <c r="BB81" s="4931">
        <v>1</v>
      </c>
      <c r="BC81" s="4932"/>
      <c r="BD81" s="4933">
        <f>BB81*0.262/0.2489</f>
        <v>1.0526315789473684</v>
      </c>
      <c r="BE81" s="4645"/>
      <c r="BF81" s="107"/>
      <c r="BG81" s="107"/>
      <c r="BH81" s="107"/>
      <c r="BI81" s="107"/>
      <c r="BJ81" s="107"/>
      <c r="BK81" s="329"/>
      <c r="BL81" s="329"/>
      <c r="BM81" s="329"/>
      <c r="BN81" s="329"/>
      <c r="BO81" s="329"/>
      <c r="BP81" s="329"/>
      <c r="BQ81" s="329"/>
      <c r="BR81" s="329"/>
      <c r="BS81" s="329"/>
      <c r="BT81" s="329"/>
      <c r="BU81" s="329"/>
      <c r="BV81" s="329"/>
      <c r="BW81" s="329"/>
      <c r="BX81" s="329"/>
      <c r="BY81" s="329"/>
      <c r="BZ81" s="329"/>
      <c r="CA81" s="3472"/>
      <c r="CB81" s="3472"/>
    </row>
    <row r="82" spans="1:80" ht="16.5" customHeight="1">
      <c r="A82" s="492"/>
      <c r="B82" s="4860" t="s">
        <v>745</v>
      </c>
      <c r="C82" s="4861"/>
      <c r="D82" s="3518" t="str">
        <f>FIXED((AF82),1)&amp;" litres"</f>
        <v>2.4 litres</v>
      </c>
      <c r="E82" s="4857" t="s">
        <v>364</v>
      </c>
      <c r="F82" s="4857"/>
      <c r="G82" s="886" t="str">
        <f>FIXED((AI82),1)&amp;" litres"</f>
        <v>1.3 litres</v>
      </c>
      <c r="H82" s="887"/>
      <c r="I82" s="514"/>
      <c r="J82" s="4754" t="s">
        <v>164</v>
      </c>
      <c r="K82" s="4755"/>
      <c r="L82" s="2822">
        <f t="shared" ref="L82:L87" si="82">INT(AT69/60)</f>
        <v>10</v>
      </c>
      <c r="M82" s="2681">
        <f t="shared" ref="M82:M87" si="83">60*(MOD(AT69/60,60)-L82)</f>
        <v>45</v>
      </c>
      <c r="N82" s="547">
        <f t="shared" ref="N82:N87" si="84">INT(AU69/60)</f>
        <v>10</v>
      </c>
      <c r="O82" s="2825">
        <f t="shared" ref="O82:O87" si="85">60*(MOD(AU69/60,60)-N82)</f>
        <v>15</v>
      </c>
      <c r="P82" s="2826">
        <f t="shared" ref="P82:P87" si="86">INT(AV69/60)</f>
        <v>10</v>
      </c>
      <c r="Q82" s="548">
        <f t="shared" ref="Q82:Q87" si="87">60*(MOD(AV69/60,60)-P82)</f>
        <v>0</v>
      </c>
      <c r="R82" s="564"/>
      <c r="S82" s="2794"/>
      <c r="T82" s="564"/>
      <c r="U82" s="564"/>
      <c r="V82" s="564"/>
      <c r="W82" s="564"/>
      <c r="X82" s="564"/>
      <c r="Y82" s="564"/>
      <c r="Z82" s="564"/>
      <c r="AA82" s="559"/>
      <c r="AB82" s="559"/>
      <c r="AC82" s="313"/>
      <c r="AD82" s="524" t="s">
        <v>365</v>
      </c>
      <c r="AE82" s="524"/>
      <c r="AF82" s="524">
        <f>AF81*AF84</f>
        <v>2.4475000000000002</v>
      </c>
      <c r="AG82" s="524"/>
      <c r="AH82" s="524"/>
      <c r="AI82" s="524">
        <f>AI81*AI84</f>
        <v>1.3474999999999999</v>
      </c>
      <c r="AJ82" s="524"/>
      <c r="AK82" s="524"/>
      <c r="AL82" s="313"/>
      <c r="AM82" s="313"/>
      <c r="AN82" s="313"/>
      <c r="AO82" s="313"/>
      <c r="AP82" s="313"/>
      <c r="AQ82" s="313"/>
      <c r="AR82" s="542"/>
      <c r="AS82" s="542"/>
      <c r="AT82" s="524"/>
      <c r="AU82" s="524"/>
      <c r="AV82" s="524"/>
      <c r="AW82" s="313"/>
      <c r="AX82" s="313"/>
      <c r="AY82" s="313"/>
      <c r="AZ82" s="313"/>
      <c r="BA82" s="514"/>
      <c r="BB82" s="107"/>
      <c r="BC82" s="107"/>
      <c r="BD82" s="107"/>
      <c r="BE82" s="107"/>
      <c r="BF82" s="107"/>
      <c r="BG82" s="107"/>
      <c r="BH82" s="107"/>
      <c r="BI82" s="107"/>
      <c r="BJ82" s="107"/>
      <c r="BK82" s="329"/>
      <c r="BL82" s="329"/>
      <c r="BM82" s="329"/>
      <c r="BN82" s="329"/>
      <c r="BO82" s="329"/>
      <c r="BP82" s="329"/>
      <c r="BQ82" s="329"/>
      <c r="BR82" s="329"/>
      <c r="BS82" s="329"/>
      <c r="BT82" s="329"/>
      <c r="BU82" s="329"/>
      <c r="BV82" s="329"/>
      <c r="BW82" s="329"/>
      <c r="BX82" s="329"/>
      <c r="BY82" s="329"/>
      <c r="BZ82" s="329"/>
      <c r="CA82" s="3472"/>
      <c r="CB82" s="3472"/>
    </row>
    <row r="83" spans="1:80" ht="16.5" customHeight="1">
      <c r="A83" s="165"/>
      <c r="B83" s="165"/>
      <c r="C83" s="165"/>
      <c r="D83" s="165"/>
      <c r="E83" s="165"/>
      <c r="F83" s="165"/>
      <c r="G83" s="165"/>
      <c r="H83" s="165"/>
      <c r="I83" s="514"/>
      <c r="J83" s="4929" t="s">
        <v>166</v>
      </c>
      <c r="K83" s="4930"/>
      <c r="L83" s="2814">
        <f t="shared" si="82"/>
        <v>11</v>
      </c>
      <c r="M83" s="2767">
        <f t="shared" si="83"/>
        <v>0</v>
      </c>
      <c r="N83" s="426">
        <f t="shared" si="84"/>
        <v>10</v>
      </c>
      <c r="O83" s="2827">
        <f t="shared" si="85"/>
        <v>30</v>
      </c>
      <c r="P83" s="2828">
        <f t="shared" si="86"/>
        <v>10</v>
      </c>
      <c r="Q83" s="600">
        <f t="shared" si="87"/>
        <v>15</v>
      </c>
      <c r="R83" s="564"/>
      <c r="S83" s="2794"/>
      <c r="T83" s="564"/>
      <c r="U83" s="560"/>
      <c r="V83" s="2785"/>
      <c r="W83" s="2785"/>
      <c r="X83" s="2785"/>
      <c r="Y83" s="2785"/>
      <c r="Z83" s="2785"/>
      <c r="AA83" s="559"/>
      <c r="AB83" s="559"/>
      <c r="AC83" s="524"/>
      <c r="AD83" s="524"/>
      <c r="AE83" s="524"/>
      <c r="AF83" s="524"/>
      <c r="AG83" s="524"/>
      <c r="AH83" s="524"/>
      <c r="AI83" s="524"/>
      <c r="AJ83" s="524"/>
      <c r="AK83" s="524"/>
      <c r="AL83" s="313"/>
      <c r="AM83" s="313"/>
      <c r="AN83" s="313"/>
      <c r="AO83" s="313"/>
      <c r="AP83" s="313"/>
      <c r="AQ83" s="313"/>
      <c r="AR83" s="524"/>
      <c r="AS83" s="524"/>
      <c r="AT83" s="524"/>
      <c r="AU83" s="524"/>
      <c r="AV83" s="358"/>
      <c r="AW83" s="313"/>
      <c r="AX83" s="313"/>
      <c r="AY83" s="313"/>
      <c r="AZ83" s="313"/>
      <c r="BA83" s="514"/>
      <c r="BB83" s="107"/>
      <c r="BC83" s="107"/>
      <c r="BD83" s="107"/>
      <c r="BE83" s="107"/>
      <c r="BF83" s="107"/>
      <c r="BG83" s="107"/>
      <c r="BH83" s="107"/>
      <c r="BI83" s="107"/>
      <c r="BJ83" s="107"/>
      <c r="BK83" s="329"/>
      <c r="BL83" s="329"/>
      <c r="BM83" s="329"/>
      <c r="BN83" s="329"/>
      <c r="BO83" s="329"/>
      <c r="BP83" s="329"/>
      <c r="BQ83" s="329"/>
      <c r="BR83" s="329"/>
      <c r="BS83" s="329"/>
      <c r="BT83" s="329"/>
      <c r="BU83" s="329"/>
      <c r="BV83" s="329"/>
      <c r="BW83" s="329"/>
      <c r="BX83" s="329"/>
      <c r="BY83" s="329"/>
      <c r="BZ83" s="329"/>
      <c r="CA83" s="3472"/>
      <c r="CB83" s="3472"/>
    </row>
    <row r="84" spans="1:80" ht="16.5" customHeight="1">
      <c r="A84" s="530"/>
      <c r="B84" s="558"/>
      <c r="C84" s="4842" t="s">
        <v>357</v>
      </c>
      <c r="D84" s="4842"/>
      <c r="E84" s="3386"/>
      <c r="F84" s="3386"/>
      <c r="G84" s="3386"/>
      <c r="H84" s="514"/>
      <c r="I84" s="514"/>
      <c r="J84" s="4754" t="s">
        <v>167</v>
      </c>
      <c r="K84" s="4755"/>
      <c r="L84" s="2822">
        <f t="shared" si="82"/>
        <v>11</v>
      </c>
      <c r="M84" s="2768">
        <f t="shared" si="83"/>
        <v>15</v>
      </c>
      <c r="N84" s="551">
        <f t="shared" si="84"/>
        <v>10</v>
      </c>
      <c r="O84" s="2829">
        <f t="shared" si="85"/>
        <v>45</v>
      </c>
      <c r="P84" s="2830">
        <f t="shared" si="86"/>
        <v>10</v>
      </c>
      <c r="Q84" s="548">
        <f t="shared" si="87"/>
        <v>30</v>
      </c>
      <c r="R84" s="564"/>
      <c r="S84" s="2794"/>
      <c r="T84" s="564"/>
      <c r="U84" s="560"/>
      <c r="V84" s="2785"/>
      <c r="W84" s="2785"/>
      <c r="X84" s="2785"/>
      <c r="Y84" s="2785"/>
      <c r="Z84" s="2785"/>
      <c r="AA84" s="561"/>
      <c r="AB84" s="561"/>
      <c r="AC84" s="524"/>
      <c r="AD84" s="524" t="s">
        <v>366</v>
      </c>
      <c r="AE84" s="524"/>
      <c r="AF84" s="524">
        <f>D81</f>
        <v>2.75</v>
      </c>
      <c r="AG84" s="524"/>
      <c r="AH84" s="524"/>
      <c r="AI84" s="524">
        <f>D81</f>
        <v>2.75</v>
      </c>
      <c r="AJ84" s="524"/>
      <c r="AK84" s="524"/>
      <c r="AL84" s="313"/>
      <c r="AM84" s="313"/>
      <c r="AN84" s="313"/>
      <c r="AO84" s="313"/>
      <c r="AP84" s="313"/>
      <c r="AQ84" s="313"/>
      <c r="AR84" s="166"/>
      <c r="AS84" s="166"/>
      <c r="AT84" s="313"/>
      <c r="AU84" s="313"/>
      <c r="AV84" s="313"/>
      <c r="AW84" s="313"/>
      <c r="AX84" s="313"/>
      <c r="AY84" s="313"/>
      <c r="AZ84" s="313"/>
      <c r="BA84" s="514"/>
      <c r="BB84" s="107"/>
      <c r="BC84" s="107"/>
      <c r="BD84" s="107"/>
      <c r="BE84" s="107"/>
      <c r="BF84" s="107"/>
      <c r="BG84" s="107"/>
      <c r="BH84" s="107"/>
      <c r="BI84" s="107"/>
      <c r="BJ84" s="107"/>
      <c r="BK84" s="329"/>
      <c r="BL84" s="329"/>
      <c r="BM84" s="329"/>
      <c r="BN84" s="329"/>
      <c r="BO84" s="329"/>
      <c r="BP84" s="329"/>
      <c r="BQ84" s="329"/>
      <c r="BR84" s="329"/>
      <c r="BS84" s="329"/>
      <c r="BT84" s="329"/>
      <c r="BU84" s="329"/>
      <c r="BV84" s="329"/>
      <c r="BW84" s="329"/>
      <c r="BX84" s="329"/>
      <c r="BY84" s="329"/>
      <c r="BZ84" s="329"/>
      <c r="CA84" s="3472"/>
      <c r="CB84" s="3472"/>
    </row>
    <row r="85" spans="1:80" ht="16.5" customHeight="1">
      <c r="A85" s="530"/>
      <c r="B85" s="558"/>
      <c r="C85" s="4436" t="s">
        <v>747</v>
      </c>
      <c r="D85" s="4436"/>
      <c r="E85" s="4436"/>
      <c r="F85" s="4436"/>
      <c r="G85" s="4436"/>
      <c r="H85" s="4436"/>
      <c r="I85" s="514"/>
      <c r="J85" s="4815" t="s">
        <v>743</v>
      </c>
      <c r="K85" s="4816"/>
      <c r="L85" s="2822">
        <f t="shared" si="82"/>
        <v>11</v>
      </c>
      <c r="M85" s="2768">
        <f t="shared" si="83"/>
        <v>30</v>
      </c>
      <c r="N85" s="551">
        <f t="shared" si="84"/>
        <v>11</v>
      </c>
      <c r="O85" s="2829">
        <f t="shared" si="85"/>
        <v>0</v>
      </c>
      <c r="P85" s="2830">
        <f t="shared" si="86"/>
        <v>10</v>
      </c>
      <c r="Q85" s="548">
        <f t="shared" si="87"/>
        <v>45</v>
      </c>
      <c r="R85" s="564"/>
      <c r="S85" s="2794"/>
      <c r="T85" s="564"/>
      <c r="U85" s="560"/>
      <c r="V85" s="2785"/>
      <c r="W85" s="2785"/>
      <c r="X85" s="2785"/>
      <c r="Y85" s="2785"/>
      <c r="Z85" s="2785"/>
      <c r="AA85" s="561"/>
      <c r="AB85" s="561"/>
      <c r="AC85" s="524"/>
      <c r="AD85" s="524" t="s">
        <v>368</v>
      </c>
      <c r="AE85" s="524"/>
      <c r="AF85" s="524"/>
      <c r="AG85" s="524"/>
      <c r="AH85" s="524"/>
      <c r="AI85" s="524" t="s">
        <v>369</v>
      </c>
      <c r="AJ85" s="524"/>
      <c r="AK85" s="524"/>
      <c r="AL85" s="313"/>
      <c r="AM85" s="313"/>
      <c r="AN85" s="313"/>
      <c r="AO85" s="313"/>
      <c r="AP85" s="313"/>
      <c r="AQ85" s="313"/>
      <c r="AR85" s="166"/>
      <c r="AS85" s="166"/>
      <c r="AT85" s="313"/>
      <c r="AU85" s="313"/>
      <c r="AV85" s="313"/>
      <c r="AW85" s="313"/>
      <c r="AX85" s="313"/>
      <c r="AY85" s="313"/>
      <c r="AZ85" s="313"/>
      <c r="BA85" s="107"/>
      <c r="BB85" s="107"/>
      <c r="BC85" s="107"/>
      <c r="BD85" s="107"/>
      <c r="BE85" s="107"/>
      <c r="BF85" s="107"/>
      <c r="BG85" s="107"/>
      <c r="BH85" s="107"/>
      <c r="BI85" s="107"/>
      <c r="BJ85" s="107"/>
      <c r="BK85" s="329"/>
      <c r="BL85" s="329"/>
      <c r="BM85" s="329"/>
      <c r="BN85" s="329"/>
      <c r="BO85" s="329"/>
      <c r="BP85" s="329"/>
      <c r="BQ85" s="329"/>
      <c r="BR85" s="329"/>
      <c r="BS85" s="329"/>
      <c r="BT85" s="329"/>
      <c r="BU85" s="329"/>
      <c r="BV85" s="329"/>
      <c r="BW85" s="329"/>
      <c r="BX85" s="329"/>
      <c r="BY85" s="329"/>
      <c r="BZ85" s="329"/>
      <c r="CA85" s="3472"/>
      <c r="CB85" s="3472"/>
    </row>
    <row r="86" spans="1:80" ht="16.5" customHeight="1">
      <c r="A86" s="530"/>
      <c r="B86" s="558"/>
      <c r="C86" s="4436"/>
      <c r="D86" s="4436"/>
      <c r="E86" s="4436"/>
      <c r="F86" s="4436"/>
      <c r="G86" s="4436"/>
      <c r="H86" s="4436"/>
      <c r="I86" s="514"/>
      <c r="J86" s="4810" t="s">
        <v>742</v>
      </c>
      <c r="K86" s="4811"/>
      <c r="L86" s="2769">
        <f t="shared" si="82"/>
        <v>11</v>
      </c>
      <c r="M86" s="2770">
        <f t="shared" si="83"/>
        <v>45</v>
      </c>
      <c r="N86" s="162">
        <f t="shared" si="84"/>
        <v>11</v>
      </c>
      <c r="O86" s="2831">
        <f t="shared" si="85"/>
        <v>15</v>
      </c>
      <c r="P86" s="2832">
        <f t="shared" si="86"/>
        <v>11</v>
      </c>
      <c r="Q86" s="2797">
        <f t="shared" si="87"/>
        <v>0</v>
      </c>
      <c r="R86" s="564"/>
      <c r="S86" s="2794"/>
      <c r="T86" s="564"/>
      <c r="U86" s="560"/>
      <c r="V86" s="2785"/>
      <c r="W86" s="2785"/>
      <c r="X86" s="2785"/>
      <c r="Y86" s="2785"/>
      <c r="Z86" s="2785"/>
      <c r="AA86" s="2501"/>
      <c r="AB86" s="2501"/>
      <c r="AC86" s="524"/>
      <c r="AD86" s="524"/>
      <c r="AE86" s="524"/>
      <c r="AF86" s="524"/>
      <c r="AG86" s="524"/>
      <c r="AH86" s="524"/>
      <c r="AI86" s="524"/>
      <c r="AJ86" s="524"/>
      <c r="AK86" s="524"/>
      <c r="AL86" s="313"/>
      <c r="AM86" s="313"/>
      <c r="AN86" s="313"/>
      <c r="AO86" s="313"/>
      <c r="AP86" s="313"/>
      <c r="AQ86" s="313"/>
      <c r="AR86" s="166"/>
      <c r="AS86" s="166"/>
      <c r="AT86" s="313"/>
      <c r="AU86" s="313"/>
      <c r="AV86" s="313"/>
      <c r="AW86" s="313"/>
      <c r="AX86" s="313"/>
      <c r="AY86" s="313"/>
      <c r="AZ86" s="313"/>
      <c r="BA86" s="107"/>
      <c r="BB86" s="107"/>
      <c r="BC86" s="107"/>
      <c r="BD86" s="107"/>
      <c r="BE86" s="107"/>
      <c r="BF86" s="107"/>
      <c r="BG86" s="107"/>
      <c r="BH86" s="107"/>
      <c r="BI86" s="107"/>
      <c r="BJ86" s="107"/>
      <c r="BK86" s="329"/>
      <c r="BL86" s="329"/>
      <c r="BM86" s="329"/>
      <c r="BN86" s="329"/>
      <c r="BO86" s="329"/>
      <c r="BP86" s="329"/>
      <c r="BQ86" s="329"/>
      <c r="BR86" s="329"/>
      <c r="BS86" s="329"/>
      <c r="BT86" s="329"/>
      <c r="BU86" s="329"/>
      <c r="BV86" s="329"/>
      <c r="BW86" s="329"/>
      <c r="BX86" s="329"/>
      <c r="BY86" s="329"/>
      <c r="BZ86" s="329"/>
      <c r="CA86" s="3472"/>
      <c r="CB86" s="3472"/>
    </row>
    <row r="87" spans="1:80" ht="16.5" customHeight="1">
      <c r="A87" s="530"/>
      <c r="B87" s="558"/>
      <c r="C87" s="1842"/>
      <c r="D87" s="1842"/>
      <c r="E87" s="1842"/>
      <c r="F87" s="1842"/>
      <c r="G87" s="1842"/>
      <c r="H87" s="514"/>
      <c r="I87" s="514"/>
      <c r="J87" s="4817" t="s">
        <v>170</v>
      </c>
      <c r="K87" s="4818"/>
      <c r="L87" s="2771">
        <f t="shared" si="82"/>
        <v>11</v>
      </c>
      <c r="M87" s="2772">
        <f t="shared" si="83"/>
        <v>45</v>
      </c>
      <c r="N87" s="429">
        <f t="shared" si="84"/>
        <v>11</v>
      </c>
      <c r="O87" s="2833">
        <f t="shared" si="85"/>
        <v>15</v>
      </c>
      <c r="P87" s="2834">
        <f t="shared" si="86"/>
        <v>11</v>
      </c>
      <c r="Q87" s="430">
        <f t="shared" si="87"/>
        <v>0</v>
      </c>
      <c r="R87" s="564"/>
      <c r="S87" s="564"/>
      <c r="T87" s="2795"/>
      <c r="U87" s="560"/>
      <c r="V87" s="2785"/>
      <c r="W87" s="2785"/>
      <c r="X87" s="2785"/>
      <c r="Y87" s="2785"/>
      <c r="Z87" s="2785"/>
      <c r="AA87" s="2761"/>
      <c r="AB87" s="2501"/>
      <c r="AC87" s="524"/>
      <c r="AD87" s="524"/>
      <c r="AE87" s="524"/>
      <c r="AF87" s="524"/>
      <c r="AG87" s="524"/>
      <c r="AH87" s="524"/>
      <c r="AI87" s="524"/>
      <c r="AJ87" s="524"/>
      <c r="AK87" s="524"/>
      <c r="AL87" s="313"/>
      <c r="AM87" s="313"/>
      <c r="AN87" s="313"/>
      <c r="AO87" s="313"/>
      <c r="AP87" s="313"/>
      <c r="AQ87" s="313"/>
      <c r="AR87" s="166"/>
      <c r="AS87" s="166"/>
      <c r="AT87" s="313"/>
      <c r="AU87" s="313"/>
      <c r="AV87" s="313"/>
      <c r="AW87" s="313"/>
      <c r="AX87" s="313"/>
      <c r="AY87" s="313"/>
      <c r="AZ87" s="313"/>
      <c r="BA87" s="107"/>
      <c r="BB87" s="107"/>
      <c r="BC87" s="107"/>
      <c r="BD87" s="107"/>
      <c r="BE87" s="1623"/>
      <c r="BF87" s="107"/>
      <c r="BG87" s="107"/>
      <c r="BH87" s="107"/>
      <c r="BI87" s="107"/>
      <c r="BJ87" s="107"/>
      <c r="BK87" s="329"/>
      <c r="BL87" s="329"/>
      <c r="BM87" s="329"/>
      <c r="BN87" s="329"/>
      <c r="BO87" s="329"/>
      <c r="BP87" s="329"/>
      <c r="BQ87" s="329"/>
      <c r="BR87" s="329"/>
      <c r="BS87" s="329"/>
      <c r="BT87" s="329"/>
      <c r="BU87" s="329"/>
      <c r="BV87" s="329"/>
      <c r="BW87" s="329"/>
      <c r="BX87" s="329"/>
      <c r="BY87" s="329"/>
      <c r="BZ87" s="329"/>
      <c r="CA87" s="3472"/>
      <c r="CB87" s="3472"/>
    </row>
    <row r="88" spans="1:80" ht="16.5" customHeight="1">
      <c r="A88" s="530"/>
      <c r="B88" s="558"/>
      <c r="C88" s="4843" t="s">
        <v>650</v>
      </c>
      <c r="D88" s="4843"/>
      <c r="E88" s="514"/>
      <c r="F88" s="514"/>
      <c r="G88" s="514"/>
      <c r="H88" s="514"/>
      <c r="I88" s="514"/>
      <c r="J88" s="4558" t="s">
        <v>173</v>
      </c>
      <c r="K88" s="4819"/>
      <c r="L88" s="432">
        <f>I68</f>
        <v>90</v>
      </c>
      <c r="M88" s="2760" t="s">
        <v>174</v>
      </c>
      <c r="N88" s="432">
        <f>O68</f>
        <v>60</v>
      </c>
      <c r="O88" s="2760" t="s">
        <v>174</v>
      </c>
      <c r="P88" s="432">
        <f>U68</f>
        <v>45</v>
      </c>
      <c r="Q88" s="2671" t="s">
        <v>174</v>
      </c>
      <c r="R88" s="107"/>
      <c r="S88" s="107"/>
      <c r="T88" s="107"/>
      <c r="U88" s="560"/>
      <c r="V88" s="558"/>
      <c r="W88" s="558"/>
      <c r="X88" s="558"/>
      <c r="Y88" s="558"/>
      <c r="Z88" s="558"/>
      <c r="AA88" s="2761"/>
      <c r="AB88" s="2501"/>
      <c r="AC88" s="524"/>
      <c r="AD88" s="524"/>
      <c r="AE88" s="524"/>
      <c r="AF88" s="524"/>
      <c r="AG88" s="524"/>
      <c r="AH88" s="524"/>
      <c r="AI88" s="524"/>
      <c r="AJ88" s="524"/>
      <c r="AK88" s="524"/>
      <c r="AL88" s="524"/>
      <c r="AM88" s="524"/>
      <c r="AN88" s="524"/>
      <c r="AO88" s="524"/>
      <c r="AP88" s="524"/>
      <c r="AQ88" s="313"/>
      <c r="AR88" s="166"/>
      <c r="AS88" s="166"/>
      <c r="AT88" s="313"/>
      <c r="AU88" s="313"/>
      <c r="AV88" s="313"/>
      <c r="AW88" s="313"/>
      <c r="AX88" s="313"/>
      <c r="AY88" s="313"/>
      <c r="AZ88" s="313"/>
      <c r="BA88" s="107"/>
      <c r="BB88" s="107"/>
      <c r="BC88" s="167"/>
      <c r="BD88" s="167"/>
      <c r="BE88" s="107"/>
      <c r="BF88" s="107"/>
      <c r="BG88" s="107"/>
      <c r="BH88" s="107"/>
      <c r="BI88" s="107"/>
      <c r="BJ88" s="107"/>
      <c r="BK88" s="329"/>
      <c r="BL88" s="329"/>
      <c r="BM88" s="329"/>
      <c r="BN88" s="329"/>
      <c r="BO88" s="329"/>
      <c r="BP88" s="329"/>
      <c r="BQ88" s="329"/>
      <c r="BR88" s="329"/>
      <c r="BS88" s="329"/>
      <c r="BT88" s="329"/>
      <c r="BU88" s="329"/>
      <c r="BV88" s="329"/>
      <c r="BW88" s="329"/>
      <c r="BX88" s="329"/>
      <c r="BY88" s="329"/>
      <c r="BZ88" s="329"/>
      <c r="CA88" s="3472"/>
      <c r="CB88" s="3472"/>
    </row>
    <row r="89" spans="1:80" ht="16.5" customHeight="1">
      <c r="A89" s="530"/>
      <c r="B89" s="558"/>
      <c r="C89" s="888">
        <v>1</v>
      </c>
      <c r="D89" s="4687" t="s">
        <v>228</v>
      </c>
      <c r="E89" s="4435"/>
      <c r="F89" s="556">
        <v>23</v>
      </c>
      <c r="G89" s="2763" t="s">
        <v>749</v>
      </c>
      <c r="H89" s="1894" t="str">
        <f>FIXED((C89*'Beer Data Sheet'!$T$16/F89),1)&amp;" EBU"</f>
        <v>3.0 EBU</v>
      </c>
      <c r="I89" s="514"/>
      <c r="J89" s="4820" t="s">
        <v>176</v>
      </c>
      <c r="K89" s="4820"/>
      <c r="L89" s="107"/>
      <c r="M89" s="107"/>
      <c r="N89" s="107"/>
      <c r="O89" s="107"/>
      <c r="P89" s="107"/>
      <c r="Q89" s="107"/>
      <c r="R89" s="560"/>
      <c r="S89" s="560"/>
      <c r="T89" s="560"/>
      <c r="U89" s="560"/>
      <c r="V89" s="558"/>
      <c r="W89" s="558"/>
      <c r="X89" s="558"/>
      <c r="Y89" s="558"/>
      <c r="Z89" s="558"/>
      <c r="AA89" s="492"/>
      <c r="AB89" s="492"/>
      <c r="AC89" s="524"/>
      <c r="AD89" s="524"/>
      <c r="AE89" s="524"/>
      <c r="AF89" s="524"/>
      <c r="AG89" s="524"/>
      <c r="AH89" s="524"/>
      <c r="AI89" s="524"/>
      <c r="AJ89" s="524"/>
      <c r="AK89" s="524"/>
      <c r="AL89" s="524"/>
      <c r="AM89" s="524"/>
      <c r="AN89" s="524"/>
      <c r="AO89" s="524"/>
      <c r="AP89" s="524"/>
      <c r="AQ89" s="313"/>
      <c r="AR89" s="166"/>
      <c r="AS89" s="166"/>
      <c r="AT89" s="313"/>
      <c r="AU89" s="313"/>
      <c r="AV89" s="313"/>
      <c r="AW89" s="313"/>
      <c r="AX89" s="313"/>
      <c r="AY89" s="313"/>
      <c r="AZ89" s="313"/>
      <c r="BA89" s="107"/>
      <c r="BB89" s="167"/>
      <c r="BC89" s="610"/>
      <c r="BD89" s="610"/>
      <c r="BE89" s="1623"/>
      <c r="BF89" s="107"/>
      <c r="BG89" s="107"/>
      <c r="BH89" s="107"/>
      <c r="BI89" s="107"/>
      <c r="BJ89" s="107"/>
      <c r="BK89" s="329"/>
      <c r="BL89" s="329"/>
      <c r="BM89" s="329"/>
      <c r="BN89" s="329"/>
      <c r="BO89" s="329"/>
      <c r="BP89" s="329"/>
      <c r="BQ89" s="329"/>
      <c r="BR89" s="329"/>
      <c r="BS89" s="329"/>
      <c r="BT89" s="329"/>
      <c r="BU89" s="329"/>
      <c r="BV89" s="329"/>
      <c r="BW89" s="329"/>
      <c r="BX89" s="329"/>
      <c r="BY89" s="329"/>
      <c r="BZ89" s="329"/>
      <c r="CA89" s="3472"/>
      <c r="CB89" s="3472"/>
    </row>
    <row r="90" spans="1:80" ht="16.5" customHeight="1">
      <c r="A90" s="530"/>
      <c r="B90" s="558"/>
      <c r="C90" s="4197" t="s">
        <v>746</v>
      </c>
      <c r="D90" s="4197"/>
      <c r="E90" s="4197"/>
      <c r="F90" s="4197"/>
      <c r="G90" s="4197"/>
      <c r="H90" s="4197"/>
      <c r="I90" s="4197"/>
      <c r="J90" s="2579"/>
      <c r="K90" s="2579"/>
      <c r="L90" s="2579"/>
      <c r="M90" s="2579"/>
      <c r="N90" s="2579"/>
      <c r="O90" s="2579"/>
      <c r="P90" s="2579"/>
      <c r="Q90" s="2067"/>
      <c r="R90" s="560"/>
      <c r="S90" s="560"/>
      <c r="T90" s="560"/>
      <c r="U90" s="560"/>
      <c r="V90" s="558"/>
      <c r="W90" s="558"/>
      <c r="X90" s="558"/>
      <c r="Y90" s="558"/>
      <c r="Z90" s="558"/>
      <c r="AA90" s="514"/>
      <c r="AB90" s="514"/>
      <c r="AC90" s="524"/>
      <c r="AD90" s="524"/>
      <c r="AE90" s="524"/>
      <c r="AF90" s="524"/>
      <c r="AG90" s="524"/>
      <c r="AH90" s="524"/>
      <c r="AI90" s="524"/>
      <c r="AJ90" s="524"/>
      <c r="AK90" s="524"/>
      <c r="AL90" s="524"/>
      <c r="AM90" s="524"/>
      <c r="AN90" s="524"/>
      <c r="AO90" s="524"/>
      <c r="AP90" s="524"/>
      <c r="AQ90" s="313"/>
      <c r="AR90" s="166"/>
      <c r="AS90" s="166"/>
      <c r="AT90" s="313"/>
      <c r="AU90" s="313"/>
      <c r="AV90" s="313"/>
      <c r="AW90" s="313"/>
      <c r="AX90" s="313"/>
      <c r="AY90" s="313"/>
      <c r="AZ90" s="313"/>
      <c r="BA90" s="107"/>
      <c r="BB90" s="167"/>
      <c r="BC90" s="107"/>
      <c r="BD90" s="107"/>
      <c r="BE90" s="107"/>
      <c r="BF90" s="107"/>
      <c r="BG90" s="107"/>
      <c r="BH90" s="107"/>
      <c r="BI90" s="107"/>
      <c r="BJ90" s="107"/>
      <c r="BK90" s="329"/>
      <c r="BL90" s="329"/>
      <c r="BM90" s="329"/>
      <c r="BN90" s="329"/>
      <c r="BO90" s="329"/>
      <c r="BP90" s="329"/>
      <c r="BQ90" s="329"/>
      <c r="BR90" s="329"/>
      <c r="BS90" s="329"/>
      <c r="BT90" s="329"/>
      <c r="BU90" s="329"/>
      <c r="BV90" s="329"/>
      <c r="BW90" s="329"/>
      <c r="BX90" s="329"/>
      <c r="BY90" s="329"/>
      <c r="BZ90" s="329"/>
      <c r="CA90" s="3472"/>
      <c r="CB90" s="3472"/>
    </row>
    <row r="91" spans="1:80" ht="16.5" customHeight="1">
      <c r="A91" s="530"/>
      <c r="B91" s="558"/>
      <c r="C91" s="558"/>
      <c r="D91" s="2049"/>
      <c r="E91" s="2049"/>
      <c r="F91" s="2049"/>
      <c r="G91" s="2049"/>
      <c r="H91" s="2049"/>
      <c r="I91" s="2579"/>
      <c r="J91" s="2579"/>
      <c r="K91" s="2579"/>
      <c r="L91" s="2579"/>
      <c r="M91" s="2579"/>
      <c r="N91" s="2579"/>
      <c r="O91" s="2579"/>
      <c r="P91" s="2579"/>
      <c r="Q91" s="2067"/>
      <c r="R91" s="560"/>
      <c r="S91" s="560"/>
      <c r="T91" s="560"/>
      <c r="U91" s="560"/>
      <c r="V91" s="558"/>
      <c r="W91" s="558"/>
      <c r="X91" s="558"/>
      <c r="Y91" s="558"/>
      <c r="Z91" s="558"/>
      <c r="AA91" s="514"/>
      <c r="AB91" s="514"/>
      <c r="AC91" s="524"/>
      <c r="AD91" s="524"/>
      <c r="AE91" s="524"/>
      <c r="AF91" s="524"/>
      <c r="AG91" s="524"/>
      <c r="AH91" s="524"/>
      <c r="AI91" s="524"/>
      <c r="AJ91" s="524"/>
      <c r="AK91" s="524"/>
      <c r="AL91" s="524"/>
      <c r="AM91" s="524"/>
      <c r="AN91" s="524"/>
      <c r="AO91" s="524"/>
      <c r="AP91" s="524"/>
      <c r="AQ91" s="524"/>
      <c r="AR91" s="524"/>
      <c r="AS91" s="524"/>
      <c r="AT91" s="524"/>
      <c r="AU91" s="524"/>
      <c r="AV91" s="524"/>
      <c r="AW91" s="524"/>
      <c r="AX91" s="524"/>
      <c r="AY91" s="524"/>
      <c r="AZ91" s="524"/>
      <c r="BA91" s="107"/>
      <c r="BB91" s="167"/>
      <c r="BC91" s="610"/>
      <c r="BD91" s="610"/>
      <c r="BE91" s="1623"/>
      <c r="BF91" s="107"/>
      <c r="BG91" s="107"/>
      <c r="BH91" s="107"/>
      <c r="BI91" s="107"/>
      <c r="BJ91" s="107"/>
      <c r="BK91" s="329"/>
      <c r="BL91" s="329"/>
      <c r="BM91" s="329"/>
      <c r="BN91" s="329"/>
      <c r="BO91" s="329"/>
      <c r="BP91" s="329"/>
      <c r="BQ91" s="329"/>
      <c r="BR91" s="329"/>
      <c r="BS91" s="329"/>
      <c r="BT91" s="329"/>
      <c r="BU91" s="329"/>
      <c r="BV91" s="329"/>
      <c r="BW91" s="329"/>
      <c r="BX91" s="329"/>
      <c r="BY91" s="329"/>
      <c r="BZ91" s="329"/>
      <c r="CA91" s="3472"/>
      <c r="CB91" s="3472"/>
    </row>
    <row r="92" spans="1:80" ht="16.5" customHeight="1">
      <c r="A92" s="4756" t="s">
        <v>222</v>
      </c>
      <c r="B92" s="4756"/>
      <c r="C92" s="2786"/>
      <c r="D92" s="2787"/>
      <c r="E92" s="2788"/>
      <c r="F92" s="2788"/>
      <c r="G92" s="2788"/>
      <c r="H92" s="167"/>
      <c r="I92" s="167"/>
      <c r="J92" s="167"/>
      <c r="K92" s="167"/>
      <c r="L92" s="167"/>
      <c r="M92" s="167"/>
      <c r="N92" s="167"/>
      <c r="O92" s="167"/>
      <c r="P92" s="167"/>
      <c r="Q92" s="167"/>
      <c r="R92" s="167"/>
      <c r="S92" s="167"/>
      <c r="T92" s="565"/>
      <c r="U92" s="2789"/>
      <c r="V92" s="2789"/>
      <c r="W92" s="2789"/>
      <c r="X92" s="2789"/>
      <c r="Y92" s="2789"/>
      <c r="Z92" s="2789"/>
      <c r="AA92" s="2790"/>
      <c r="AB92" s="2790"/>
      <c r="AC92" s="524"/>
      <c r="AD92" s="524"/>
      <c r="AE92" s="524"/>
      <c r="AF92" s="524"/>
      <c r="AG92" s="524"/>
      <c r="AH92" s="524"/>
      <c r="AI92" s="524"/>
      <c r="AJ92" s="524"/>
      <c r="AK92" s="524"/>
      <c r="AL92" s="524"/>
      <c r="AM92" s="524"/>
      <c r="AN92" s="524"/>
      <c r="AO92" s="524"/>
      <c r="AP92" s="524"/>
      <c r="AQ92" s="524"/>
      <c r="AR92" s="524"/>
      <c r="AS92" s="524"/>
      <c r="AT92" s="524"/>
      <c r="AU92" s="524"/>
      <c r="AV92" s="524"/>
      <c r="AW92" s="524"/>
      <c r="AX92" s="524"/>
      <c r="AY92" s="524"/>
      <c r="AZ92" s="524"/>
      <c r="BA92" s="2782"/>
      <c r="BB92" s="2782"/>
      <c r="BC92" s="2782"/>
      <c r="BD92" s="2782"/>
      <c r="BE92" s="107"/>
      <c r="BF92" s="107"/>
      <c r="BG92" s="107"/>
      <c r="BH92" s="107"/>
      <c r="BI92" s="107"/>
      <c r="BJ92" s="107"/>
      <c r="BK92" s="329"/>
      <c r="BL92" s="329"/>
      <c r="BM92" s="329"/>
      <c r="BN92" s="329"/>
      <c r="BO92" s="329"/>
      <c r="BP92" s="329"/>
      <c r="BQ92" s="329"/>
      <c r="BR92" s="329"/>
      <c r="BS92" s="329"/>
      <c r="BT92" s="329"/>
      <c r="BU92" s="329"/>
      <c r="BV92" s="329"/>
      <c r="BW92" s="329"/>
      <c r="BX92" s="329"/>
      <c r="BY92" s="329"/>
      <c r="BZ92" s="329"/>
      <c r="CA92" s="3472"/>
      <c r="CB92" s="3472"/>
    </row>
    <row r="93" spans="1:80" ht="16.5" customHeight="1">
      <c r="A93" s="2585"/>
      <c r="B93" s="4757" t="s">
        <v>223</v>
      </c>
      <c r="C93" s="4757"/>
      <c r="D93" s="2791"/>
      <c r="E93" s="2792"/>
      <c r="F93" s="2585"/>
      <c r="G93" s="2792"/>
      <c r="H93" s="2792"/>
      <c r="I93" s="2792"/>
      <c r="J93" s="2792"/>
      <c r="K93" s="2792"/>
      <c r="L93" s="2792"/>
      <c r="M93" s="2792"/>
      <c r="N93" s="2792"/>
      <c r="O93" s="2792"/>
      <c r="P93" s="2792"/>
      <c r="Q93" s="2792"/>
      <c r="R93" s="2792"/>
      <c r="S93" s="2792"/>
      <c r="T93" s="2792"/>
      <c r="U93" s="2792"/>
      <c r="V93" s="459"/>
      <c r="W93" s="459"/>
      <c r="X93" s="459"/>
      <c r="Y93" s="1624"/>
      <c r="Z93" s="1624"/>
      <c r="AA93" s="1624"/>
      <c r="AB93" s="1624"/>
      <c r="AC93" s="524"/>
      <c r="AD93" s="524"/>
      <c r="AE93" s="524"/>
      <c r="AF93" s="524"/>
      <c r="AG93" s="524"/>
      <c r="AH93" s="524"/>
      <c r="AI93" s="524"/>
      <c r="AJ93" s="524"/>
      <c r="AK93" s="524"/>
      <c r="AL93" s="524"/>
      <c r="AM93" s="524"/>
      <c r="AN93" s="524"/>
      <c r="AO93" s="524"/>
      <c r="AP93" s="524"/>
      <c r="AQ93" s="524"/>
      <c r="AR93" s="524"/>
      <c r="AS93" s="524"/>
      <c r="AT93" s="524"/>
      <c r="AU93" s="524"/>
      <c r="AV93" s="524"/>
      <c r="AW93" s="524"/>
      <c r="AX93" s="524"/>
      <c r="AY93" s="524"/>
      <c r="AZ93" s="524"/>
      <c r="BA93" s="1624"/>
      <c r="BB93" s="1624"/>
      <c r="BC93" s="1624"/>
      <c r="BD93" s="1624"/>
      <c r="BE93" s="1624"/>
      <c r="BF93" s="1624"/>
      <c r="BG93" s="1624"/>
      <c r="BH93" s="1624"/>
      <c r="BI93" s="1624"/>
      <c r="BJ93" s="1624"/>
      <c r="BK93" s="329"/>
      <c r="BL93" s="329"/>
      <c r="BM93" s="329"/>
      <c r="BN93" s="329"/>
      <c r="BO93" s="329"/>
      <c r="BP93" s="329"/>
      <c r="BQ93" s="329"/>
      <c r="BR93" s="329"/>
      <c r="BS93" s="329"/>
      <c r="BT93" s="329"/>
      <c r="BU93" s="329"/>
      <c r="BV93" s="329"/>
      <c r="BW93" s="329"/>
      <c r="BX93" s="329"/>
      <c r="BY93" s="329"/>
      <c r="BZ93" s="329"/>
      <c r="CA93" s="3472"/>
      <c r="CB93" s="3472"/>
    </row>
    <row r="94" spans="1:80" ht="15" customHeight="1">
      <c r="A94" s="2793"/>
      <c r="B94" s="4758"/>
      <c r="C94" s="4759"/>
      <c r="D94" s="4759"/>
      <c r="E94" s="4759"/>
      <c r="F94" s="4759"/>
      <c r="G94" s="4759"/>
      <c r="H94" s="4759"/>
      <c r="I94" s="4759"/>
      <c r="J94" s="4759"/>
      <c r="K94" s="4759"/>
      <c r="L94" s="4759"/>
      <c r="M94" s="4759"/>
      <c r="N94" s="4759"/>
      <c r="O94" s="4759"/>
      <c r="P94" s="4759"/>
      <c r="Q94" s="4759"/>
      <c r="R94" s="4759"/>
      <c r="S94" s="4759"/>
      <c r="T94" s="4759"/>
      <c r="U94" s="4759"/>
      <c r="V94" s="4759"/>
      <c r="W94" s="4759"/>
      <c r="X94" s="4759"/>
      <c r="Y94" s="4759"/>
      <c r="Z94" s="4759"/>
      <c r="AA94" s="4759"/>
      <c r="AB94" s="4759"/>
      <c r="AC94" s="4759"/>
      <c r="AD94" s="4759"/>
      <c r="AE94" s="4759"/>
      <c r="AF94" s="4759"/>
      <c r="AG94" s="4759"/>
      <c r="AH94" s="4759"/>
      <c r="AI94" s="4759"/>
      <c r="AJ94" s="4759"/>
      <c r="AK94" s="4759"/>
      <c r="AL94" s="4759"/>
      <c r="AM94" s="4759"/>
      <c r="AN94" s="4759"/>
      <c r="AO94" s="4759"/>
      <c r="AP94" s="4759"/>
      <c r="AQ94" s="4759"/>
      <c r="AR94" s="4759"/>
      <c r="AS94" s="4759"/>
      <c r="AT94" s="4759"/>
      <c r="AU94" s="4759"/>
      <c r="AV94" s="4759"/>
      <c r="AW94" s="4759"/>
      <c r="AX94" s="4759"/>
      <c r="AY94" s="4759"/>
      <c r="AZ94" s="4759"/>
      <c r="BA94" s="4759"/>
      <c r="BB94" s="4759"/>
      <c r="BC94" s="4760"/>
      <c r="BD94" s="3387"/>
      <c r="BE94" s="3387"/>
      <c r="BF94" s="3387"/>
      <c r="BG94" s="3387"/>
      <c r="BH94" s="3387"/>
      <c r="BI94" s="3387"/>
      <c r="BJ94" s="1624"/>
      <c r="BK94" s="329"/>
      <c r="BL94" s="329"/>
      <c r="BM94" s="329"/>
      <c r="BN94" s="329"/>
      <c r="BO94" s="329"/>
      <c r="BP94" s="329"/>
      <c r="BQ94" s="329"/>
      <c r="BR94" s="329"/>
      <c r="BS94" s="329"/>
      <c r="BT94" s="329"/>
      <c r="BU94" s="329"/>
      <c r="BV94" s="329"/>
      <c r="BW94" s="329"/>
      <c r="BX94" s="329"/>
      <c r="BY94" s="329"/>
      <c r="BZ94" s="329"/>
      <c r="CA94" s="3472"/>
      <c r="CB94" s="3472"/>
    </row>
    <row r="95" spans="1:80" ht="15" customHeight="1">
      <c r="A95" s="903"/>
      <c r="B95" s="4761"/>
      <c r="C95" s="4762"/>
      <c r="D95" s="4762"/>
      <c r="E95" s="4762"/>
      <c r="F95" s="4762"/>
      <c r="G95" s="4762"/>
      <c r="H95" s="4762"/>
      <c r="I95" s="4762"/>
      <c r="J95" s="4762"/>
      <c r="K95" s="4762"/>
      <c r="L95" s="4762"/>
      <c r="M95" s="4762"/>
      <c r="N95" s="4762"/>
      <c r="O95" s="4762"/>
      <c r="P95" s="4762"/>
      <c r="Q95" s="4762"/>
      <c r="R95" s="4762"/>
      <c r="S95" s="4762"/>
      <c r="T95" s="4762"/>
      <c r="U95" s="4762"/>
      <c r="V95" s="4762"/>
      <c r="W95" s="4762"/>
      <c r="X95" s="4762"/>
      <c r="Y95" s="4762"/>
      <c r="Z95" s="4762"/>
      <c r="AA95" s="4762"/>
      <c r="AB95" s="4762"/>
      <c r="AC95" s="4762"/>
      <c r="AD95" s="4762"/>
      <c r="AE95" s="4762"/>
      <c r="AF95" s="4762"/>
      <c r="AG95" s="4762"/>
      <c r="AH95" s="4762"/>
      <c r="AI95" s="4762"/>
      <c r="AJ95" s="4762"/>
      <c r="AK95" s="4762"/>
      <c r="AL95" s="4762"/>
      <c r="AM95" s="4762"/>
      <c r="AN95" s="4762"/>
      <c r="AO95" s="4762"/>
      <c r="AP95" s="4762"/>
      <c r="AQ95" s="4762"/>
      <c r="AR95" s="4762"/>
      <c r="AS95" s="4762"/>
      <c r="AT95" s="4762"/>
      <c r="AU95" s="4762"/>
      <c r="AV95" s="4762"/>
      <c r="AW95" s="4762"/>
      <c r="AX95" s="4762"/>
      <c r="AY95" s="4762"/>
      <c r="AZ95" s="4762"/>
      <c r="BA95" s="4762"/>
      <c r="BB95" s="4762"/>
      <c r="BC95" s="4763"/>
      <c r="BD95" s="3387"/>
      <c r="BE95" s="3387"/>
      <c r="BF95" s="3387"/>
      <c r="BG95" s="3387"/>
      <c r="BH95" s="3387"/>
      <c r="BI95" s="3387"/>
      <c r="BJ95" s="1624"/>
      <c r="BK95" s="329"/>
      <c r="BL95" s="329"/>
      <c r="BM95" s="329"/>
      <c r="BN95" s="329"/>
      <c r="BO95" s="329"/>
      <c r="BP95" s="329"/>
      <c r="BQ95" s="329"/>
      <c r="BR95" s="329"/>
      <c r="BS95" s="329"/>
      <c r="BT95" s="329"/>
      <c r="BU95" s="329"/>
      <c r="BV95" s="329"/>
      <c r="BW95" s="329"/>
      <c r="BX95" s="329"/>
      <c r="BY95" s="329"/>
      <c r="BZ95" s="329"/>
      <c r="CA95" s="3472"/>
      <c r="CB95" s="3472"/>
    </row>
    <row r="96" spans="1:80" ht="15" customHeight="1">
      <c r="A96" s="903"/>
      <c r="B96" s="4761"/>
      <c r="C96" s="4762"/>
      <c r="D96" s="4762"/>
      <c r="E96" s="4762"/>
      <c r="F96" s="4762"/>
      <c r="G96" s="4762"/>
      <c r="H96" s="4762"/>
      <c r="I96" s="4762"/>
      <c r="J96" s="4762"/>
      <c r="K96" s="4762"/>
      <c r="L96" s="4762"/>
      <c r="M96" s="4762"/>
      <c r="N96" s="4762"/>
      <c r="O96" s="4762"/>
      <c r="P96" s="4762"/>
      <c r="Q96" s="4762"/>
      <c r="R96" s="4762"/>
      <c r="S96" s="4762"/>
      <c r="T96" s="4762"/>
      <c r="U96" s="4762"/>
      <c r="V96" s="4762"/>
      <c r="W96" s="4762"/>
      <c r="X96" s="4762"/>
      <c r="Y96" s="4762"/>
      <c r="Z96" s="4762"/>
      <c r="AA96" s="4762"/>
      <c r="AB96" s="4762"/>
      <c r="AC96" s="4762"/>
      <c r="AD96" s="4762"/>
      <c r="AE96" s="4762"/>
      <c r="AF96" s="4762"/>
      <c r="AG96" s="4762"/>
      <c r="AH96" s="4762"/>
      <c r="AI96" s="4762"/>
      <c r="AJ96" s="4762"/>
      <c r="AK96" s="4762"/>
      <c r="AL96" s="4762"/>
      <c r="AM96" s="4762"/>
      <c r="AN96" s="4762"/>
      <c r="AO96" s="4762"/>
      <c r="AP96" s="4762"/>
      <c r="AQ96" s="4762"/>
      <c r="AR96" s="4762"/>
      <c r="AS96" s="4762"/>
      <c r="AT96" s="4762"/>
      <c r="AU96" s="4762"/>
      <c r="AV96" s="4762"/>
      <c r="AW96" s="4762"/>
      <c r="AX96" s="4762"/>
      <c r="AY96" s="4762"/>
      <c r="AZ96" s="4762"/>
      <c r="BA96" s="4762"/>
      <c r="BB96" s="4762"/>
      <c r="BC96" s="4763"/>
      <c r="BD96" s="3387"/>
      <c r="BE96" s="3387"/>
      <c r="BF96" s="3387"/>
      <c r="BG96" s="3387"/>
      <c r="BH96" s="3387"/>
      <c r="BI96" s="3387"/>
      <c r="BJ96" s="1624"/>
      <c r="BK96" s="329"/>
      <c r="BL96" s="329"/>
      <c r="BM96" s="329"/>
      <c r="BN96" s="329"/>
      <c r="BO96" s="329"/>
      <c r="BP96" s="329"/>
      <c r="BQ96" s="329"/>
      <c r="BR96" s="329"/>
      <c r="BS96" s="329"/>
      <c r="BT96" s="329"/>
      <c r="BU96" s="329"/>
      <c r="BV96" s="329"/>
      <c r="BW96" s="329"/>
      <c r="BX96" s="329"/>
      <c r="BY96" s="329"/>
      <c r="BZ96" s="329"/>
      <c r="CA96" s="3472"/>
      <c r="CB96" s="3472"/>
    </row>
    <row r="97" spans="1:80" ht="15" customHeight="1">
      <c r="A97" s="903"/>
      <c r="B97" s="4761"/>
      <c r="C97" s="4762"/>
      <c r="D97" s="4762"/>
      <c r="E97" s="4762"/>
      <c r="F97" s="4762"/>
      <c r="G97" s="4762"/>
      <c r="H97" s="4762"/>
      <c r="I97" s="4762"/>
      <c r="J97" s="4762"/>
      <c r="K97" s="4762"/>
      <c r="L97" s="4762"/>
      <c r="M97" s="4762"/>
      <c r="N97" s="4762"/>
      <c r="O97" s="4762"/>
      <c r="P97" s="4762"/>
      <c r="Q97" s="4762"/>
      <c r="R97" s="4762"/>
      <c r="S97" s="4762"/>
      <c r="T97" s="4762"/>
      <c r="U97" s="4762"/>
      <c r="V97" s="4762"/>
      <c r="W97" s="4762"/>
      <c r="X97" s="4762"/>
      <c r="Y97" s="4762"/>
      <c r="Z97" s="4762"/>
      <c r="AA97" s="4762"/>
      <c r="AB97" s="4762"/>
      <c r="AC97" s="4762"/>
      <c r="AD97" s="4762"/>
      <c r="AE97" s="4762"/>
      <c r="AF97" s="4762"/>
      <c r="AG97" s="4762"/>
      <c r="AH97" s="4762"/>
      <c r="AI97" s="4762"/>
      <c r="AJ97" s="4762"/>
      <c r="AK97" s="4762"/>
      <c r="AL97" s="4762"/>
      <c r="AM97" s="4762"/>
      <c r="AN97" s="4762"/>
      <c r="AO97" s="4762"/>
      <c r="AP97" s="4762"/>
      <c r="AQ97" s="4762"/>
      <c r="AR97" s="4762"/>
      <c r="AS97" s="4762"/>
      <c r="AT97" s="4762"/>
      <c r="AU97" s="4762"/>
      <c r="AV97" s="4762"/>
      <c r="AW97" s="4762"/>
      <c r="AX97" s="4762"/>
      <c r="AY97" s="4762"/>
      <c r="AZ97" s="4762"/>
      <c r="BA97" s="4762"/>
      <c r="BB97" s="4762"/>
      <c r="BC97" s="4763"/>
      <c r="BD97" s="3387"/>
      <c r="BE97" s="3387"/>
      <c r="BF97" s="3387"/>
      <c r="BG97" s="3387"/>
      <c r="BH97" s="3387"/>
      <c r="BI97" s="3387"/>
      <c r="BJ97" s="1624"/>
      <c r="BK97" s="329"/>
      <c r="BL97" s="329"/>
      <c r="BM97" s="329"/>
      <c r="BN97" s="329"/>
      <c r="BO97" s="329"/>
      <c r="BP97" s="329"/>
      <c r="BQ97" s="329"/>
      <c r="BR97" s="329"/>
      <c r="BS97" s="329"/>
      <c r="BT97" s="329"/>
      <c r="BU97" s="329"/>
      <c r="BV97" s="329"/>
      <c r="BW97" s="329"/>
      <c r="BX97" s="329"/>
      <c r="BY97" s="329"/>
      <c r="BZ97" s="329"/>
      <c r="CA97" s="3472"/>
      <c r="CB97" s="3472"/>
    </row>
    <row r="98" spans="1:80" ht="15" customHeight="1">
      <c r="A98" s="903"/>
      <c r="B98" s="4761"/>
      <c r="C98" s="4762"/>
      <c r="D98" s="4762"/>
      <c r="E98" s="4762"/>
      <c r="F98" s="4762"/>
      <c r="G98" s="4762"/>
      <c r="H98" s="4762"/>
      <c r="I98" s="4762"/>
      <c r="J98" s="4762"/>
      <c r="K98" s="4762"/>
      <c r="L98" s="4762"/>
      <c r="M98" s="4762"/>
      <c r="N98" s="4762"/>
      <c r="O98" s="4762"/>
      <c r="P98" s="4762"/>
      <c r="Q98" s="4762"/>
      <c r="R98" s="4762"/>
      <c r="S98" s="4762"/>
      <c r="T98" s="4762"/>
      <c r="U98" s="4762"/>
      <c r="V98" s="4762"/>
      <c r="W98" s="4762"/>
      <c r="X98" s="4762"/>
      <c r="Y98" s="4762"/>
      <c r="Z98" s="4762"/>
      <c r="AA98" s="4762"/>
      <c r="AB98" s="4762"/>
      <c r="AC98" s="4762"/>
      <c r="AD98" s="4762"/>
      <c r="AE98" s="4762"/>
      <c r="AF98" s="4762"/>
      <c r="AG98" s="4762"/>
      <c r="AH98" s="4762"/>
      <c r="AI98" s="4762"/>
      <c r="AJ98" s="4762"/>
      <c r="AK98" s="4762"/>
      <c r="AL98" s="4762"/>
      <c r="AM98" s="4762"/>
      <c r="AN98" s="4762"/>
      <c r="AO98" s="4762"/>
      <c r="AP98" s="4762"/>
      <c r="AQ98" s="4762"/>
      <c r="AR98" s="4762"/>
      <c r="AS98" s="4762"/>
      <c r="AT98" s="4762"/>
      <c r="AU98" s="4762"/>
      <c r="AV98" s="4762"/>
      <c r="AW98" s="4762"/>
      <c r="AX98" s="4762"/>
      <c r="AY98" s="4762"/>
      <c r="AZ98" s="4762"/>
      <c r="BA98" s="4762"/>
      <c r="BB98" s="4762"/>
      <c r="BC98" s="4763"/>
      <c r="BD98" s="3387"/>
      <c r="BE98" s="3387"/>
      <c r="BF98" s="3387"/>
      <c r="BG98" s="3387"/>
      <c r="BH98" s="3387"/>
      <c r="BI98" s="3387"/>
      <c r="BJ98" s="1624"/>
      <c r="BK98" s="329"/>
      <c r="BL98" s="329"/>
      <c r="BM98" s="329"/>
      <c r="BN98" s="329"/>
      <c r="BO98" s="329"/>
      <c r="BP98" s="329"/>
      <c r="BQ98" s="329"/>
      <c r="BR98" s="329"/>
      <c r="BS98" s="329"/>
      <c r="BT98" s="329"/>
      <c r="BU98" s="329"/>
      <c r="BV98" s="329"/>
      <c r="BW98" s="329"/>
      <c r="BX98" s="329"/>
      <c r="BY98" s="329"/>
      <c r="BZ98" s="329"/>
      <c r="CA98" s="3472"/>
      <c r="CB98" s="3472"/>
    </row>
    <row r="99" spans="1:80" ht="15" customHeight="1">
      <c r="A99" s="903"/>
      <c r="B99" s="4761"/>
      <c r="C99" s="4762"/>
      <c r="D99" s="4762"/>
      <c r="E99" s="4762"/>
      <c r="F99" s="4762"/>
      <c r="G99" s="4762"/>
      <c r="H99" s="4762"/>
      <c r="I99" s="4762"/>
      <c r="J99" s="4762"/>
      <c r="K99" s="4762"/>
      <c r="L99" s="4762"/>
      <c r="M99" s="4762"/>
      <c r="N99" s="4762"/>
      <c r="O99" s="4762"/>
      <c r="P99" s="4762"/>
      <c r="Q99" s="4762"/>
      <c r="R99" s="4762"/>
      <c r="S99" s="4762"/>
      <c r="T99" s="4762"/>
      <c r="U99" s="4762"/>
      <c r="V99" s="4762"/>
      <c r="W99" s="4762"/>
      <c r="X99" s="4762"/>
      <c r="Y99" s="4762"/>
      <c r="Z99" s="4762"/>
      <c r="AA99" s="4762"/>
      <c r="AB99" s="4762"/>
      <c r="AC99" s="4762"/>
      <c r="AD99" s="4762"/>
      <c r="AE99" s="4762"/>
      <c r="AF99" s="4762"/>
      <c r="AG99" s="4762"/>
      <c r="AH99" s="4762"/>
      <c r="AI99" s="4762"/>
      <c r="AJ99" s="4762"/>
      <c r="AK99" s="4762"/>
      <c r="AL99" s="4762"/>
      <c r="AM99" s="4762"/>
      <c r="AN99" s="4762"/>
      <c r="AO99" s="4762"/>
      <c r="AP99" s="4762"/>
      <c r="AQ99" s="4762"/>
      <c r="AR99" s="4762"/>
      <c r="AS99" s="4762"/>
      <c r="AT99" s="4762"/>
      <c r="AU99" s="4762"/>
      <c r="AV99" s="4762"/>
      <c r="AW99" s="4762"/>
      <c r="AX99" s="4762"/>
      <c r="AY99" s="4762"/>
      <c r="AZ99" s="4762"/>
      <c r="BA99" s="4762"/>
      <c r="BB99" s="4762"/>
      <c r="BC99" s="4763"/>
      <c r="BD99" s="3387"/>
      <c r="BE99" s="3387"/>
      <c r="BF99" s="3387"/>
      <c r="BG99" s="3387"/>
      <c r="BH99" s="3387"/>
      <c r="BI99" s="3387"/>
      <c r="BJ99" s="1624"/>
      <c r="BK99" s="329"/>
      <c r="BL99" s="329"/>
      <c r="BM99" s="329"/>
      <c r="BN99" s="329"/>
      <c r="BO99" s="329"/>
      <c r="BP99" s="329"/>
      <c r="BQ99" s="329"/>
      <c r="BR99" s="329"/>
      <c r="BS99" s="329"/>
      <c r="BT99" s="329"/>
      <c r="BU99" s="329"/>
      <c r="BV99" s="329"/>
      <c r="BW99" s="329"/>
      <c r="BX99" s="329"/>
      <c r="BY99" s="329"/>
      <c r="BZ99" s="329"/>
      <c r="CA99" s="3472"/>
      <c r="CB99" s="3472"/>
    </row>
    <row r="100" spans="1:80" ht="15" customHeight="1">
      <c r="A100" s="903"/>
      <c r="B100" s="4761"/>
      <c r="C100" s="4762"/>
      <c r="D100" s="4762"/>
      <c r="E100" s="4762"/>
      <c r="F100" s="4762"/>
      <c r="G100" s="4762"/>
      <c r="H100" s="4762"/>
      <c r="I100" s="4762"/>
      <c r="J100" s="4762"/>
      <c r="K100" s="4762"/>
      <c r="L100" s="4762"/>
      <c r="M100" s="4762"/>
      <c r="N100" s="4762"/>
      <c r="O100" s="4762"/>
      <c r="P100" s="4762"/>
      <c r="Q100" s="4762"/>
      <c r="R100" s="4762"/>
      <c r="S100" s="4762"/>
      <c r="T100" s="4762"/>
      <c r="U100" s="4762"/>
      <c r="V100" s="4762"/>
      <c r="W100" s="4762"/>
      <c r="X100" s="4762"/>
      <c r="Y100" s="4762"/>
      <c r="Z100" s="4762"/>
      <c r="AA100" s="4762"/>
      <c r="AB100" s="4762"/>
      <c r="AC100" s="4762"/>
      <c r="AD100" s="4762"/>
      <c r="AE100" s="4762"/>
      <c r="AF100" s="4762"/>
      <c r="AG100" s="4762"/>
      <c r="AH100" s="4762"/>
      <c r="AI100" s="4762"/>
      <c r="AJ100" s="4762"/>
      <c r="AK100" s="4762"/>
      <c r="AL100" s="4762"/>
      <c r="AM100" s="4762"/>
      <c r="AN100" s="4762"/>
      <c r="AO100" s="4762"/>
      <c r="AP100" s="4762"/>
      <c r="AQ100" s="4762"/>
      <c r="AR100" s="4762"/>
      <c r="AS100" s="4762"/>
      <c r="AT100" s="4762"/>
      <c r="AU100" s="4762"/>
      <c r="AV100" s="4762"/>
      <c r="AW100" s="4762"/>
      <c r="AX100" s="4762"/>
      <c r="AY100" s="4762"/>
      <c r="AZ100" s="4762"/>
      <c r="BA100" s="4762"/>
      <c r="BB100" s="4762"/>
      <c r="BC100" s="4763"/>
      <c r="BD100" s="3387"/>
      <c r="BE100" s="3387"/>
      <c r="BF100" s="3387"/>
      <c r="BG100" s="3387"/>
      <c r="BH100" s="3387"/>
      <c r="BI100" s="3387"/>
      <c r="BJ100" s="1624"/>
      <c r="BK100" s="329"/>
      <c r="BL100" s="329"/>
      <c r="BM100" s="329"/>
      <c r="BN100" s="329"/>
      <c r="BO100" s="329"/>
      <c r="BP100" s="329"/>
      <c r="BQ100" s="329"/>
      <c r="BR100" s="329"/>
      <c r="BS100" s="329"/>
      <c r="BT100" s="329"/>
      <c r="BU100" s="329"/>
      <c r="BV100" s="329"/>
      <c r="BW100" s="329"/>
      <c r="BX100" s="329"/>
      <c r="BY100" s="329"/>
      <c r="BZ100" s="329"/>
      <c r="CA100" s="3472"/>
      <c r="CB100" s="3472"/>
    </row>
    <row r="101" spans="1:80" ht="15" customHeight="1">
      <c r="A101" s="903"/>
      <c r="B101" s="4761"/>
      <c r="C101" s="4762"/>
      <c r="D101" s="4762"/>
      <c r="E101" s="4762"/>
      <c r="F101" s="4762"/>
      <c r="G101" s="4762"/>
      <c r="H101" s="4762"/>
      <c r="I101" s="4762"/>
      <c r="J101" s="4762"/>
      <c r="K101" s="4762"/>
      <c r="L101" s="4762"/>
      <c r="M101" s="4762"/>
      <c r="N101" s="4762"/>
      <c r="O101" s="4762"/>
      <c r="P101" s="4762"/>
      <c r="Q101" s="4762"/>
      <c r="R101" s="4762"/>
      <c r="S101" s="4762"/>
      <c r="T101" s="4762"/>
      <c r="U101" s="4762"/>
      <c r="V101" s="4762"/>
      <c r="W101" s="4762"/>
      <c r="X101" s="4762"/>
      <c r="Y101" s="4762"/>
      <c r="Z101" s="4762"/>
      <c r="AA101" s="4762"/>
      <c r="AB101" s="4762"/>
      <c r="AC101" s="4762"/>
      <c r="AD101" s="4762"/>
      <c r="AE101" s="4762"/>
      <c r="AF101" s="4762"/>
      <c r="AG101" s="4762"/>
      <c r="AH101" s="4762"/>
      <c r="AI101" s="4762"/>
      <c r="AJ101" s="4762"/>
      <c r="AK101" s="4762"/>
      <c r="AL101" s="4762"/>
      <c r="AM101" s="4762"/>
      <c r="AN101" s="4762"/>
      <c r="AO101" s="4762"/>
      <c r="AP101" s="4762"/>
      <c r="AQ101" s="4762"/>
      <c r="AR101" s="4762"/>
      <c r="AS101" s="4762"/>
      <c r="AT101" s="4762"/>
      <c r="AU101" s="4762"/>
      <c r="AV101" s="4762"/>
      <c r="AW101" s="4762"/>
      <c r="AX101" s="4762"/>
      <c r="AY101" s="4762"/>
      <c r="AZ101" s="4762"/>
      <c r="BA101" s="4762"/>
      <c r="BB101" s="4762"/>
      <c r="BC101" s="4763"/>
      <c r="BD101" s="3387"/>
      <c r="BE101" s="3387"/>
      <c r="BF101" s="3387"/>
      <c r="BG101" s="3387"/>
      <c r="BH101" s="3387"/>
      <c r="BI101" s="3387"/>
      <c r="BJ101" s="1624"/>
      <c r="BK101" s="329"/>
      <c r="BL101" s="329"/>
      <c r="BM101" s="329"/>
      <c r="BN101" s="329"/>
      <c r="BO101" s="329"/>
      <c r="BP101" s="329"/>
      <c r="BQ101" s="329"/>
      <c r="BR101" s="329"/>
      <c r="BS101" s="329"/>
      <c r="BT101" s="329"/>
      <c r="BU101" s="329"/>
      <c r="BV101" s="329"/>
      <c r="BW101" s="329"/>
      <c r="BX101" s="329"/>
      <c r="BY101" s="329"/>
      <c r="BZ101" s="329"/>
      <c r="CA101" s="3472"/>
      <c r="CB101" s="3472"/>
    </row>
    <row r="102" spans="1:80" ht="15" customHeight="1">
      <c r="A102" s="903"/>
      <c r="B102" s="4761"/>
      <c r="C102" s="4762"/>
      <c r="D102" s="4762"/>
      <c r="E102" s="4762"/>
      <c r="F102" s="4762"/>
      <c r="G102" s="4762"/>
      <c r="H102" s="4762"/>
      <c r="I102" s="4762"/>
      <c r="J102" s="4762"/>
      <c r="K102" s="4762"/>
      <c r="L102" s="4762"/>
      <c r="M102" s="4762"/>
      <c r="N102" s="4762"/>
      <c r="O102" s="4762"/>
      <c r="P102" s="4762"/>
      <c r="Q102" s="4762"/>
      <c r="R102" s="4762"/>
      <c r="S102" s="4762"/>
      <c r="T102" s="4762"/>
      <c r="U102" s="4762"/>
      <c r="V102" s="4762"/>
      <c r="W102" s="4762"/>
      <c r="X102" s="4762"/>
      <c r="Y102" s="4762"/>
      <c r="Z102" s="4762"/>
      <c r="AA102" s="4762"/>
      <c r="AB102" s="4762"/>
      <c r="AC102" s="4762"/>
      <c r="AD102" s="4762"/>
      <c r="AE102" s="4762"/>
      <c r="AF102" s="4762"/>
      <c r="AG102" s="4762"/>
      <c r="AH102" s="4762"/>
      <c r="AI102" s="4762"/>
      <c r="AJ102" s="4762"/>
      <c r="AK102" s="4762"/>
      <c r="AL102" s="4762"/>
      <c r="AM102" s="4762"/>
      <c r="AN102" s="4762"/>
      <c r="AO102" s="4762"/>
      <c r="AP102" s="4762"/>
      <c r="AQ102" s="4762"/>
      <c r="AR102" s="4762"/>
      <c r="AS102" s="4762"/>
      <c r="AT102" s="4762"/>
      <c r="AU102" s="4762"/>
      <c r="AV102" s="4762"/>
      <c r="AW102" s="4762"/>
      <c r="AX102" s="4762"/>
      <c r="AY102" s="4762"/>
      <c r="AZ102" s="4762"/>
      <c r="BA102" s="4762"/>
      <c r="BB102" s="4762"/>
      <c r="BC102" s="4763"/>
      <c r="BD102" s="3387"/>
      <c r="BE102" s="3387"/>
      <c r="BF102" s="3387"/>
      <c r="BG102" s="3387"/>
      <c r="BH102" s="3387"/>
      <c r="BI102" s="3387"/>
      <c r="BJ102" s="1624"/>
      <c r="BK102" s="329"/>
      <c r="BL102" s="329"/>
      <c r="BM102" s="329"/>
      <c r="BN102" s="329"/>
      <c r="BO102" s="329"/>
      <c r="BP102" s="329"/>
      <c r="BQ102" s="329"/>
      <c r="BR102" s="329"/>
      <c r="BS102" s="329"/>
      <c r="BT102" s="329"/>
      <c r="BU102" s="329"/>
      <c r="BV102" s="329"/>
      <c r="BW102" s="329"/>
      <c r="BX102" s="329"/>
      <c r="BY102" s="329"/>
      <c r="BZ102" s="329"/>
      <c r="CA102" s="3472"/>
      <c r="CB102" s="3472"/>
    </row>
    <row r="103" spans="1:80" ht="15" customHeight="1">
      <c r="A103" s="903"/>
      <c r="B103" s="4761"/>
      <c r="C103" s="4762"/>
      <c r="D103" s="4762"/>
      <c r="E103" s="4762"/>
      <c r="F103" s="4762"/>
      <c r="G103" s="4762"/>
      <c r="H103" s="4762"/>
      <c r="I103" s="4762"/>
      <c r="J103" s="4762"/>
      <c r="K103" s="4762"/>
      <c r="L103" s="4762"/>
      <c r="M103" s="4762"/>
      <c r="N103" s="4762"/>
      <c r="O103" s="4762"/>
      <c r="P103" s="4762"/>
      <c r="Q103" s="4762"/>
      <c r="R103" s="4762"/>
      <c r="S103" s="4762"/>
      <c r="T103" s="4762"/>
      <c r="U103" s="4762"/>
      <c r="V103" s="4762"/>
      <c r="W103" s="4762"/>
      <c r="X103" s="4762"/>
      <c r="Y103" s="4762"/>
      <c r="Z103" s="4762"/>
      <c r="AA103" s="4762"/>
      <c r="AB103" s="4762"/>
      <c r="AC103" s="4762"/>
      <c r="AD103" s="4762"/>
      <c r="AE103" s="4762"/>
      <c r="AF103" s="4762"/>
      <c r="AG103" s="4762"/>
      <c r="AH103" s="4762"/>
      <c r="AI103" s="4762"/>
      <c r="AJ103" s="4762"/>
      <c r="AK103" s="4762"/>
      <c r="AL103" s="4762"/>
      <c r="AM103" s="4762"/>
      <c r="AN103" s="4762"/>
      <c r="AO103" s="4762"/>
      <c r="AP103" s="4762"/>
      <c r="AQ103" s="4762"/>
      <c r="AR103" s="4762"/>
      <c r="AS103" s="4762"/>
      <c r="AT103" s="4762"/>
      <c r="AU103" s="4762"/>
      <c r="AV103" s="4762"/>
      <c r="AW103" s="4762"/>
      <c r="AX103" s="4762"/>
      <c r="AY103" s="4762"/>
      <c r="AZ103" s="4762"/>
      <c r="BA103" s="4762"/>
      <c r="BB103" s="4762"/>
      <c r="BC103" s="4763"/>
      <c r="BD103" s="2782"/>
      <c r="BE103" s="2783"/>
      <c r="BF103" s="2782"/>
      <c r="BG103" s="2782"/>
      <c r="BH103" s="2782"/>
      <c r="BI103" s="2782"/>
      <c r="BJ103" s="2782"/>
      <c r="BK103" s="329"/>
      <c r="BL103" s="329"/>
      <c r="BM103" s="329"/>
      <c r="BN103" s="329"/>
      <c r="BO103" s="329"/>
      <c r="BP103" s="329"/>
      <c r="BQ103" s="329"/>
      <c r="BR103" s="329"/>
      <c r="BS103" s="329"/>
      <c r="BT103" s="329"/>
      <c r="BU103" s="329"/>
      <c r="BV103" s="329"/>
      <c r="BW103" s="329"/>
      <c r="BX103" s="329"/>
      <c r="BY103" s="329"/>
      <c r="BZ103" s="329"/>
      <c r="CA103" s="329"/>
      <c r="CB103" s="329"/>
    </row>
    <row r="104" spans="1:80" ht="15" customHeight="1">
      <c r="A104" s="903"/>
      <c r="B104" s="4761"/>
      <c r="C104" s="4762"/>
      <c r="D104" s="4762"/>
      <c r="E104" s="4762"/>
      <c r="F104" s="4762"/>
      <c r="G104" s="4762"/>
      <c r="H104" s="4762"/>
      <c r="I104" s="4762"/>
      <c r="J104" s="4762"/>
      <c r="K104" s="4762"/>
      <c r="L104" s="4762"/>
      <c r="M104" s="4762"/>
      <c r="N104" s="4762"/>
      <c r="O104" s="4762"/>
      <c r="P104" s="4762"/>
      <c r="Q104" s="4762"/>
      <c r="R104" s="4762"/>
      <c r="S104" s="4762"/>
      <c r="T104" s="4762"/>
      <c r="U104" s="4762"/>
      <c r="V104" s="4762"/>
      <c r="W104" s="4762"/>
      <c r="X104" s="4762"/>
      <c r="Y104" s="4762"/>
      <c r="Z104" s="4762"/>
      <c r="AA104" s="4762"/>
      <c r="AB104" s="4762"/>
      <c r="AC104" s="4762"/>
      <c r="AD104" s="4762"/>
      <c r="AE104" s="4762"/>
      <c r="AF104" s="4762"/>
      <c r="AG104" s="4762"/>
      <c r="AH104" s="4762"/>
      <c r="AI104" s="4762"/>
      <c r="AJ104" s="4762"/>
      <c r="AK104" s="4762"/>
      <c r="AL104" s="4762"/>
      <c r="AM104" s="4762"/>
      <c r="AN104" s="4762"/>
      <c r="AO104" s="4762"/>
      <c r="AP104" s="4762"/>
      <c r="AQ104" s="4762"/>
      <c r="AR104" s="4762"/>
      <c r="AS104" s="4762"/>
      <c r="AT104" s="4762"/>
      <c r="AU104" s="4762"/>
      <c r="AV104" s="4762"/>
      <c r="AW104" s="4762"/>
      <c r="AX104" s="4762"/>
      <c r="AY104" s="4762"/>
      <c r="AZ104" s="4762"/>
      <c r="BA104" s="4762"/>
      <c r="BB104" s="4762"/>
      <c r="BC104" s="4763"/>
      <c r="BD104" s="167"/>
      <c r="BE104" s="4767"/>
      <c r="BF104" s="4767"/>
      <c r="BG104" s="4767"/>
      <c r="BH104" s="4768" t="s">
        <v>231</v>
      </c>
      <c r="BI104" s="4768"/>
      <c r="BJ104" s="4768"/>
      <c r="BK104" s="329"/>
      <c r="BL104" s="329"/>
      <c r="BM104" s="329"/>
      <c r="BN104" s="329"/>
      <c r="BO104" s="329"/>
      <c r="BP104" s="329"/>
      <c r="BQ104" s="329"/>
      <c r="BR104" s="329"/>
      <c r="BS104" s="329"/>
      <c r="BT104" s="329"/>
      <c r="BU104" s="329"/>
      <c r="BV104" s="329"/>
      <c r="BW104" s="329"/>
      <c r="BX104" s="329"/>
      <c r="BY104" s="329"/>
      <c r="BZ104" s="329"/>
      <c r="CA104" s="329"/>
      <c r="CB104" s="329"/>
    </row>
    <row r="105" spans="1:80" ht="15" customHeight="1">
      <c r="A105" s="903"/>
      <c r="B105" s="4761"/>
      <c r="C105" s="4762"/>
      <c r="D105" s="4762"/>
      <c r="E105" s="4762"/>
      <c r="F105" s="4762"/>
      <c r="G105" s="4762"/>
      <c r="H105" s="4762"/>
      <c r="I105" s="4762"/>
      <c r="J105" s="4762"/>
      <c r="K105" s="4762"/>
      <c r="L105" s="4762"/>
      <c r="M105" s="4762"/>
      <c r="N105" s="4762"/>
      <c r="O105" s="4762"/>
      <c r="P105" s="4762"/>
      <c r="Q105" s="4762"/>
      <c r="R105" s="4762"/>
      <c r="S105" s="4762"/>
      <c r="T105" s="4762"/>
      <c r="U105" s="4762"/>
      <c r="V105" s="4762"/>
      <c r="W105" s="4762"/>
      <c r="X105" s="4762"/>
      <c r="Y105" s="4762"/>
      <c r="Z105" s="4762"/>
      <c r="AA105" s="4762"/>
      <c r="AB105" s="4762"/>
      <c r="AC105" s="4762"/>
      <c r="AD105" s="4762"/>
      <c r="AE105" s="4762"/>
      <c r="AF105" s="4762"/>
      <c r="AG105" s="4762"/>
      <c r="AH105" s="4762"/>
      <c r="AI105" s="4762"/>
      <c r="AJ105" s="4762"/>
      <c r="AK105" s="4762"/>
      <c r="AL105" s="4762"/>
      <c r="AM105" s="4762"/>
      <c r="AN105" s="4762"/>
      <c r="AO105" s="4762"/>
      <c r="AP105" s="4762"/>
      <c r="AQ105" s="4762"/>
      <c r="AR105" s="4762"/>
      <c r="AS105" s="4762"/>
      <c r="AT105" s="4762"/>
      <c r="AU105" s="4762"/>
      <c r="AV105" s="4762"/>
      <c r="AW105" s="4762"/>
      <c r="AX105" s="4762"/>
      <c r="AY105" s="4762"/>
      <c r="AZ105" s="4762"/>
      <c r="BA105" s="4762"/>
      <c r="BB105" s="4762"/>
      <c r="BC105" s="4763"/>
      <c r="BD105" s="2784"/>
      <c r="BE105" s="4770" t="s">
        <v>370</v>
      </c>
      <c r="BF105" s="4770"/>
      <c r="BG105" s="4770"/>
      <c r="BH105" s="4769" t="s">
        <v>1</v>
      </c>
      <c r="BI105" s="4769"/>
      <c r="BJ105" s="4769"/>
      <c r="BK105" s="329"/>
      <c r="BL105" s="329"/>
      <c r="BM105" s="329"/>
      <c r="BN105" s="329"/>
      <c r="BO105" s="329"/>
      <c r="BP105" s="329"/>
      <c r="BQ105" s="329"/>
      <c r="BR105" s="329"/>
      <c r="BS105" s="329"/>
      <c r="BT105" s="329"/>
      <c r="BU105" s="329"/>
      <c r="BV105" s="329"/>
      <c r="BW105" s="329"/>
      <c r="BX105" s="329"/>
      <c r="BY105" s="329"/>
      <c r="BZ105" s="329"/>
      <c r="CA105" s="329"/>
      <c r="CB105" s="329"/>
    </row>
    <row r="106" spans="1:80" ht="15" customHeight="1">
      <c r="A106" s="903"/>
      <c r="B106" s="4764"/>
      <c r="C106" s="4765"/>
      <c r="D106" s="4765"/>
      <c r="E106" s="4765"/>
      <c r="F106" s="4765"/>
      <c r="G106" s="4765"/>
      <c r="H106" s="4765"/>
      <c r="I106" s="4765"/>
      <c r="J106" s="4765"/>
      <c r="K106" s="4765"/>
      <c r="L106" s="4765"/>
      <c r="M106" s="4765"/>
      <c r="N106" s="4765"/>
      <c r="O106" s="4765"/>
      <c r="P106" s="4765"/>
      <c r="Q106" s="4765"/>
      <c r="R106" s="4765"/>
      <c r="S106" s="4765"/>
      <c r="T106" s="4765"/>
      <c r="U106" s="4765"/>
      <c r="V106" s="4765"/>
      <c r="W106" s="4765"/>
      <c r="X106" s="4765"/>
      <c r="Y106" s="4765"/>
      <c r="Z106" s="4765"/>
      <c r="AA106" s="4765"/>
      <c r="AB106" s="4765"/>
      <c r="AC106" s="4765"/>
      <c r="AD106" s="4765"/>
      <c r="AE106" s="4765"/>
      <c r="AF106" s="4765"/>
      <c r="AG106" s="4765"/>
      <c r="AH106" s="4765"/>
      <c r="AI106" s="4765"/>
      <c r="AJ106" s="4765"/>
      <c r="AK106" s="4765"/>
      <c r="AL106" s="4765"/>
      <c r="AM106" s="4765"/>
      <c r="AN106" s="4765"/>
      <c r="AO106" s="4765"/>
      <c r="AP106" s="4765"/>
      <c r="AQ106" s="4765"/>
      <c r="AR106" s="4765"/>
      <c r="AS106" s="4765"/>
      <c r="AT106" s="4765"/>
      <c r="AU106" s="4765"/>
      <c r="AV106" s="4765"/>
      <c r="AW106" s="4765"/>
      <c r="AX106" s="4765"/>
      <c r="AY106" s="4765"/>
      <c r="AZ106" s="4765"/>
      <c r="BA106" s="4765"/>
      <c r="BB106" s="4765"/>
      <c r="BC106" s="4766"/>
      <c r="BD106" s="2782"/>
      <c r="BE106" s="4771" t="s">
        <v>1067</v>
      </c>
      <c r="BF106" s="4771"/>
      <c r="BG106" s="4771"/>
      <c r="BH106" s="4769" t="s">
        <v>1068</v>
      </c>
      <c r="BI106" s="4769"/>
      <c r="BJ106" s="4769"/>
      <c r="BK106" s="329"/>
      <c r="BL106" s="329"/>
      <c r="BM106" s="329"/>
      <c r="BN106" s="329"/>
      <c r="BO106" s="329"/>
      <c r="BP106" s="329"/>
      <c r="BQ106" s="329"/>
      <c r="BR106" s="329"/>
      <c r="BS106" s="329"/>
      <c r="BT106" s="329"/>
      <c r="BU106" s="329"/>
      <c r="BV106" s="329"/>
      <c r="BW106" s="329"/>
      <c r="BX106" s="329"/>
      <c r="BY106" s="329"/>
      <c r="BZ106" s="329"/>
      <c r="CA106" s="329"/>
      <c r="CB106" s="329"/>
    </row>
    <row r="107" spans="1:80" ht="15" customHeight="1">
      <c r="A107" s="3388"/>
      <c r="B107" s="3388"/>
      <c r="C107" s="3388"/>
      <c r="D107" s="3388"/>
      <c r="E107" s="3388"/>
      <c r="F107" s="3388"/>
      <c r="G107" s="3388"/>
      <c r="H107" s="3388"/>
      <c r="I107" s="3388"/>
      <c r="J107" s="3388"/>
      <c r="K107" s="3388"/>
      <c r="L107" s="3388"/>
      <c r="M107" s="3388"/>
      <c r="N107" s="3388"/>
      <c r="O107" s="3388"/>
      <c r="P107" s="3388"/>
      <c r="Q107" s="3388"/>
      <c r="R107" s="3388"/>
      <c r="S107" s="514"/>
      <c r="T107" s="514"/>
      <c r="U107" s="514"/>
      <c r="V107" s="514"/>
      <c r="W107" s="514"/>
      <c r="X107" s="514"/>
      <c r="Y107" s="514"/>
      <c r="Z107" s="514"/>
      <c r="AA107" s="559"/>
      <c r="AB107" s="514"/>
      <c r="AC107" s="2773"/>
      <c r="AD107" s="1182"/>
      <c r="AE107" s="1182"/>
      <c r="AF107" s="1182"/>
      <c r="AG107" s="1182"/>
      <c r="AH107" s="1182"/>
      <c r="AI107" s="1182"/>
      <c r="AJ107" s="1182"/>
      <c r="AK107" s="1182"/>
      <c r="AL107" s="1182"/>
      <c r="AM107" s="1182"/>
      <c r="AN107" s="1182"/>
      <c r="AO107" s="1182"/>
      <c r="AP107" s="1182"/>
      <c r="AQ107" s="2773"/>
      <c r="AR107" s="2774"/>
      <c r="AS107" s="2774"/>
      <c r="AT107" s="2773"/>
      <c r="AU107" s="2773"/>
      <c r="AV107" s="2773"/>
      <c r="AW107" s="2773"/>
      <c r="AX107" s="2773"/>
      <c r="AY107" s="2773"/>
      <c r="AZ107" s="2773"/>
      <c r="BA107" s="107"/>
      <c r="BB107" s="167"/>
      <c r="BC107" s="610"/>
      <c r="BD107" s="610"/>
      <c r="BE107" s="4718" t="s">
        <v>1672</v>
      </c>
      <c r="BF107" s="4718"/>
      <c r="BG107" s="4718"/>
      <c r="BH107" s="3900" t="s">
        <v>233</v>
      </c>
      <c r="BI107" s="3900"/>
      <c r="BJ107" s="3900"/>
      <c r="BK107" s="329"/>
      <c r="BL107" s="329"/>
      <c r="BM107" s="329"/>
      <c r="BN107" s="329"/>
      <c r="BO107" s="329"/>
      <c r="BP107" s="329"/>
      <c r="BQ107" s="329"/>
      <c r="BR107" s="329"/>
      <c r="BS107" s="329"/>
      <c r="BT107" s="329"/>
      <c r="BU107" s="329"/>
      <c r="BV107" s="329"/>
      <c r="BW107" s="329"/>
      <c r="BX107" s="329"/>
      <c r="BY107" s="329"/>
      <c r="BZ107" s="329"/>
      <c r="CA107" s="329"/>
      <c r="CB107" s="329"/>
    </row>
    <row r="108" spans="1:80" ht="15" customHeight="1">
      <c r="A108" s="3388"/>
      <c r="B108" s="3388"/>
      <c r="C108" s="3388"/>
      <c r="D108" s="3388"/>
      <c r="E108" s="3388"/>
      <c r="F108" s="3388"/>
      <c r="G108" s="3388"/>
      <c r="H108" s="3388"/>
      <c r="I108" s="3388"/>
      <c r="J108" s="3388"/>
      <c r="K108" s="3388"/>
      <c r="L108" s="3388"/>
      <c r="M108" s="3388"/>
      <c r="N108" s="3388"/>
      <c r="O108" s="3388"/>
      <c r="P108" s="3388"/>
      <c r="Q108" s="3388"/>
      <c r="R108" s="3388"/>
      <c r="S108" s="584" t="s">
        <v>371</v>
      </c>
      <c r="T108" s="584"/>
      <c r="U108" s="584"/>
      <c r="V108" s="584"/>
      <c r="W108" s="584"/>
      <c r="X108" s="584"/>
      <c r="Y108" s="584"/>
      <c r="Z108" s="584"/>
      <c r="AA108" s="559"/>
      <c r="AB108" s="584"/>
      <c r="AC108" s="2775"/>
      <c r="AD108" s="2775"/>
      <c r="AE108" s="2775"/>
      <c r="AF108" s="2775"/>
      <c r="AG108" s="2775"/>
      <c r="AH108" s="2775"/>
      <c r="AI108" s="2775"/>
      <c r="AJ108" s="2775"/>
      <c r="AK108" s="2775"/>
      <c r="AL108" s="2775"/>
      <c r="AM108" s="2775"/>
      <c r="AN108" s="2775"/>
      <c r="AO108" s="2775"/>
      <c r="AP108" s="2775"/>
      <c r="AQ108" s="2775"/>
      <c r="AR108" s="2775"/>
      <c r="AS108" s="2775"/>
      <c r="AT108" s="2775"/>
      <c r="AU108" s="2775"/>
      <c r="AV108" s="2775"/>
      <c r="AW108" s="2775"/>
      <c r="AX108" s="2775"/>
      <c r="AY108" s="2775"/>
      <c r="AZ108" s="2775"/>
      <c r="BA108" s="584"/>
      <c r="BB108" s="167"/>
      <c r="BC108" s="610"/>
      <c r="BD108" s="610"/>
      <c r="BE108" s="4718" t="s">
        <v>234</v>
      </c>
      <c r="BF108" s="4718"/>
      <c r="BG108" s="4718"/>
      <c r="BH108" s="3900" t="s">
        <v>235</v>
      </c>
      <c r="BI108" s="3900"/>
      <c r="BJ108" s="3900"/>
      <c r="BK108" s="329"/>
      <c r="BL108" s="329"/>
      <c r="BM108" s="329"/>
      <c r="BN108" s="329"/>
      <c r="BO108" s="329"/>
      <c r="BP108" s="329"/>
      <c r="BQ108" s="329"/>
      <c r="BR108" s="329"/>
      <c r="BS108" s="329"/>
      <c r="BT108" s="329"/>
      <c r="BU108" s="329"/>
      <c r="BV108" s="329"/>
      <c r="BW108" s="329"/>
      <c r="BX108" s="329"/>
      <c r="BY108" s="329"/>
      <c r="BZ108" s="329"/>
      <c r="CA108" s="329"/>
      <c r="CB108" s="329"/>
    </row>
    <row r="109" spans="1:80" ht="15" customHeight="1">
      <c r="A109" s="4846" t="s">
        <v>236</v>
      </c>
      <c r="B109" s="4846"/>
      <c r="C109" s="344"/>
      <c r="D109" s="344"/>
      <c r="E109" s="344"/>
      <c r="F109" s="344"/>
      <c r="G109" s="344"/>
      <c r="H109" s="344"/>
      <c r="I109" s="344"/>
      <c r="J109" s="344"/>
      <c r="K109" s="344"/>
      <c r="L109" s="344"/>
      <c r="M109" s="344"/>
      <c r="N109" s="344"/>
      <c r="O109" s="344"/>
      <c r="P109" s="344"/>
      <c r="Q109" s="344"/>
      <c r="R109" s="344"/>
      <c r="S109" s="344"/>
      <c r="T109" s="344"/>
      <c r="U109" s="344"/>
      <c r="V109" s="344"/>
      <c r="W109" s="344"/>
      <c r="X109" s="344"/>
      <c r="Y109" s="898"/>
      <c r="Z109" s="898"/>
      <c r="AA109" s="898"/>
      <c r="AB109" s="898"/>
      <c r="AC109" s="899"/>
      <c r="AD109" s="899"/>
      <c r="AE109" s="899"/>
      <c r="AF109" s="899"/>
      <c r="AG109" s="899"/>
      <c r="AH109" s="899"/>
      <c r="AI109" s="899"/>
      <c r="AJ109" s="899"/>
      <c r="AK109" s="899"/>
      <c r="AL109" s="899"/>
      <c r="AM109" s="899"/>
      <c r="AN109" s="899"/>
      <c r="AO109" s="899"/>
      <c r="AP109" s="899"/>
      <c r="AQ109" s="899"/>
      <c r="AR109" s="899"/>
      <c r="AS109" s="899"/>
      <c r="AT109" s="899"/>
      <c r="AU109" s="899"/>
      <c r="AV109" s="3538"/>
      <c r="AW109" s="3538"/>
      <c r="AX109" s="900"/>
      <c r="AY109" s="3538"/>
      <c r="AZ109" s="901"/>
      <c r="BA109" s="898"/>
      <c r="BB109" s="898"/>
      <c r="BC109" s="898"/>
      <c r="BD109" s="898"/>
      <c r="BE109" s="898"/>
      <c r="BF109" s="898"/>
      <c r="BG109" s="898"/>
      <c r="BH109" s="898"/>
      <c r="BI109" s="898"/>
      <c r="BJ109" s="898"/>
      <c r="BK109" s="329"/>
      <c r="BL109" s="329"/>
      <c r="BM109" s="329"/>
      <c r="BN109" s="329"/>
      <c r="BO109" s="329"/>
      <c r="BP109" s="329"/>
      <c r="BQ109" s="329"/>
      <c r="BR109" s="329"/>
      <c r="BS109" s="329"/>
      <c r="BT109" s="329"/>
      <c r="BU109" s="329"/>
      <c r="BV109" s="329"/>
      <c r="BW109" s="329"/>
      <c r="BX109" s="329"/>
      <c r="BY109" s="329"/>
      <c r="BZ109" s="329"/>
      <c r="CA109" s="329"/>
      <c r="CB109" s="329"/>
    </row>
    <row r="110" spans="1:80" ht="15" customHeight="1">
      <c r="A110" s="492"/>
      <c r="B110" s="492"/>
      <c r="C110" s="344"/>
      <c r="D110" s="344"/>
      <c r="E110" s="344"/>
      <c r="F110" s="344"/>
      <c r="G110" s="344"/>
      <c r="H110" s="344"/>
      <c r="I110" s="344"/>
      <c r="J110" s="344"/>
      <c r="K110" s="344"/>
      <c r="L110" s="344"/>
      <c r="M110" s="344"/>
      <c r="N110" s="344"/>
      <c r="O110" s="344"/>
      <c r="P110" s="344"/>
      <c r="Q110" s="344"/>
      <c r="R110" s="344"/>
      <c r="S110" s="344"/>
      <c r="T110" s="344"/>
      <c r="U110" s="344"/>
      <c r="V110" s="344"/>
      <c r="W110" s="344"/>
      <c r="X110" s="344"/>
      <c r="Y110" s="898"/>
      <c r="Z110" s="898"/>
      <c r="AA110" s="898"/>
      <c r="AB110" s="898"/>
      <c r="AC110" s="899"/>
      <c r="AD110" s="899"/>
      <c r="AE110" s="899"/>
      <c r="AF110" s="899"/>
      <c r="AG110" s="899"/>
      <c r="AH110" s="899"/>
      <c r="AI110" s="899"/>
      <c r="AJ110" s="899"/>
      <c r="AK110" s="899"/>
      <c r="AL110" s="899"/>
      <c r="AM110" s="899"/>
      <c r="AN110" s="899"/>
      <c r="AO110" s="899"/>
      <c r="AP110" s="899"/>
      <c r="AQ110" s="899"/>
      <c r="AR110" s="899"/>
      <c r="AS110" s="899"/>
      <c r="AT110" s="899"/>
      <c r="AU110" s="899"/>
      <c r="AV110" s="3538"/>
      <c r="AW110" s="3538"/>
      <c r="AX110" s="900"/>
      <c r="AY110" s="3538"/>
      <c r="AZ110" s="901"/>
      <c r="BA110" s="898"/>
      <c r="BB110" s="898"/>
      <c r="BC110" s="898"/>
      <c r="BD110" s="898"/>
      <c r="BE110" s="898"/>
      <c r="BF110" s="898"/>
      <c r="BG110" s="898"/>
      <c r="BH110" s="898"/>
      <c r="BI110" s="898"/>
      <c r="BJ110" s="898"/>
      <c r="BK110" s="329"/>
      <c r="BL110" s="329"/>
      <c r="BM110" s="329"/>
      <c r="BN110" s="329"/>
      <c r="BO110" s="329"/>
      <c r="BP110" s="329"/>
      <c r="BQ110" s="329"/>
      <c r="BR110" s="329"/>
      <c r="BS110" s="329"/>
      <c r="BT110" s="329"/>
      <c r="BU110" s="329"/>
      <c r="BV110" s="329"/>
      <c r="BW110" s="329"/>
      <c r="BX110" s="329"/>
      <c r="BY110" s="329"/>
      <c r="BZ110" s="329"/>
      <c r="CA110" s="329"/>
      <c r="CB110" s="329"/>
    </row>
    <row r="111" spans="1:80" ht="15" customHeight="1">
      <c r="A111" s="4836" t="s">
        <v>372</v>
      </c>
      <c r="B111" s="4836"/>
      <c r="C111" s="4836"/>
      <c r="D111" s="4836"/>
      <c r="E111" s="4836"/>
      <c r="F111" s="4836"/>
      <c r="G111" s="4836"/>
      <c r="H111" s="4836"/>
      <c r="I111" s="4836"/>
      <c r="J111" s="4836"/>
      <c r="K111" s="4836"/>
      <c r="L111" s="4836"/>
      <c r="M111" s="4836"/>
      <c r="N111" s="4836"/>
      <c r="O111" s="4836"/>
      <c r="P111" s="4836"/>
      <c r="Q111" s="4836"/>
      <c r="R111" s="4836"/>
      <c r="S111" s="4836"/>
      <c r="T111" s="4836"/>
      <c r="U111" s="4836"/>
      <c r="V111" s="4836"/>
      <c r="W111" s="4836"/>
      <c r="X111" s="4836"/>
      <c r="Y111" s="898"/>
      <c r="Z111" s="898"/>
      <c r="AA111" s="898"/>
      <c r="AB111" s="898"/>
      <c r="AC111" s="899"/>
      <c r="AD111" s="899"/>
      <c r="AE111" s="899"/>
      <c r="AF111" s="899"/>
      <c r="AG111" s="899"/>
      <c r="AH111" s="899"/>
      <c r="AI111" s="899"/>
      <c r="AJ111" s="899"/>
      <c r="AK111" s="899"/>
      <c r="AL111" s="899"/>
      <c r="AM111" s="899"/>
      <c r="AN111" s="899"/>
      <c r="AO111" s="899"/>
      <c r="AP111" s="899"/>
      <c r="AQ111" s="899"/>
      <c r="AR111" s="899"/>
      <c r="AS111" s="899"/>
      <c r="AT111" s="899"/>
      <c r="AU111" s="899"/>
      <c r="AV111" s="3538"/>
      <c r="AW111" s="3538"/>
      <c r="AX111" s="900"/>
      <c r="AY111" s="3538"/>
      <c r="AZ111" s="901"/>
      <c r="BA111" s="898"/>
      <c r="BB111" s="898"/>
      <c r="BC111" s="898"/>
      <c r="BD111" s="898"/>
      <c r="BE111" s="898"/>
      <c r="BF111" s="898"/>
      <c r="BG111" s="898"/>
      <c r="BH111" s="898"/>
      <c r="BI111" s="898"/>
      <c r="BJ111" s="898"/>
      <c r="BK111" s="329"/>
      <c r="BL111" s="329"/>
      <c r="BM111" s="329"/>
      <c r="BN111" s="329"/>
      <c r="BO111" s="329"/>
      <c r="BP111" s="329"/>
      <c r="BQ111" s="329"/>
      <c r="BR111" s="329"/>
      <c r="BS111" s="329"/>
      <c r="BT111" s="329"/>
      <c r="BU111" s="329"/>
      <c r="BV111" s="329"/>
      <c r="BW111" s="329"/>
      <c r="BX111" s="329"/>
      <c r="BY111" s="329"/>
      <c r="BZ111" s="329"/>
      <c r="CA111" s="329"/>
      <c r="CB111" s="329"/>
    </row>
    <row r="112" spans="1:80" ht="15" customHeight="1">
      <c r="A112" s="4836"/>
      <c r="B112" s="4836"/>
      <c r="C112" s="4836"/>
      <c r="D112" s="4836"/>
      <c r="E112" s="4836"/>
      <c r="F112" s="4836"/>
      <c r="G112" s="4836"/>
      <c r="H112" s="4836"/>
      <c r="I112" s="4836"/>
      <c r="J112" s="4836"/>
      <c r="K112" s="4836"/>
      <c r="L112" s="4836"/>
      <c r="M112" s="4836"/>
      <c r="N112" s="4836"/>
      <c r="O112" s="4836"/>
      <c r="P112" s="4836"/>
      <c r="Q112" s="4836"/>
      <c r="R112" s="4836"/>
      <c r="S112" s="4836"/>
      <c r="T112" s="4836"/>
      <c r="U112" s="4836"/>
      <c r="V112" s="4836"/>
      <c r="W112" s="4836"/>
      <c r="X112" s="4836"/>
      <c r="Y112" s="898"/>
      <c r="Z112" s="898"/>
      <c r="AA112" s="898"/>
      <c r="AB112" s="898"/>
      <c r="AC112" s="899"/>
      <c r="AD112" s="899"/>
      <c r="AE112" s="899"/>
      <c r="AF112" s="899"/>
      <c r="AG112" s="899"/>
      <c r="AH112" s="899"/>
      <c r="AI112" s="899"/>
      <c r="AJ112" s="899"/>
      <c r="AK112" s="899"/>
      <c r="AL112" s="899"/>
      <c r="AM112" s="899"/>
      <c r="AN112" s="899"/>
      <c r="AO112" s="899"/>
      <c r="AP112" s="899"/>
      <c r="AQ112" s="899"/>
      <c r="AR112" s="899"/>
      <c r="AS112" s="899"/>
      <c r="AT112" s="899"/>
      <c r="AU112" s="899"/>
      <c r="AV112" s="3538"/>
      <c r="AW112" s="3538"/>
      <c r="AX112" s="900"/>
      <c r="AY112" s="3538"/>
      <c r="AZ112" s="901"/>
      <c r="BA112" s="898"/>
      <c r="BB112" s="898"/>
      <c r="BC112" s="898"/>
      <c r="BD112" s="898"/>
      <c r="BE112" s="898"/>
      <c r="BF112" s="898"/>
      <c r="BG112" s="898"/>
      <c r="BH112" s="898"/>
      <c r="BI112" s="898"/>
      <c r="BJ112" s="898"/>
      <c r="BK112" s="329"/>
      <c r="BL112" s="329"/>
      <c r="BM112" s="329"/>
      <c r="BN112" s="329"/>
      <c r="BO112" s="329"/>
      <c r="BP112" s="329"/>
      <c r="BQ112" s="329"/>
      <c r="BR112" s="329"/>
      <c r="BS112" s="329"/>
      <c r="BT112" s="329"/>
      <c r="BU112" s="329"/>
      <c r="BV112" s="329"/>
      <c r="BW112" s="329"/>
      <c r="BX112" s="329"/>
      <c r="BY112" s="329"/>
      <c r="BZ112" s="329"/>
      <c r="CA112" s="329"/>
      <c r="CB112" s="329"/>
    </row>
    <row r="113" spans="1:80" ht="15" customHeight="1">
      <c r="A113" s="4836"/>
      <c r="B113" s="4836"/>
      <c r="C113" s="4836"/>
      <c r="D113" s="4836"/>
      <c r="E113" s="4836"/>
      <c r="F113" s="4836"/>
      <c r="G113" s="4836"/>
      <c r="H113" s="4836"/>
      <c r="I113" s="4836"/>
      <c r="J113" s="4836"/>
      <c r="K113" s="4836"/>
      <c r="L113" s="4836"/>
      <c r="M113" s="4836"/>
      <c r="N113" s="4836"/>
      <c r="O113" s="4836"/>
      <c r="P113" s="4836"/>
      <c r="Q113" s="4836"/>
      <c r="R113" s="4836"/>
      <c r="S113" s="4836"/>
      <c r="T113" s="4836"/>
      <c r="U113" s="4836"/>
      <c r="V113" s="4836"/>
      <c r="W113" s="4836"/>
      <c r="X113" s="4836"/>
      <c r="Y113" s="898"/>
      <c r="Z113" s="898"/>
      <c r="AA113" s="898"/>
      <c r="AB113" s="898"/>
      <c r="AC113" s="899"/>
      <c r="AD113" s="899"/>
      <c r="AE113" s="899"/>
      <c r="AF113" s="899"/>
      <c r="AG113" s="899"/>
      <c r="AH113" s="899"/>
      <c r="AI113" s="899"/>
      <c r="AJ113" s="899"/>
      <c r="AK113" s="899"/>
      <c r="AL113" s="899"/>
      <c r="AM113" s="899"/>
      <c r="AN113" s="899"/>
      <c r="AO113" s="899"/>
      <c r="AP113" s="899"/>
      <c r="AQ113" s="899"/>
      <c r="AR113" s="899"/>
      <c r="AS113" s="899"/>
      <c r="AT113" s="899"/>
      <c r="AU113" s="899"/>
      <c r="AV113" s="3538"/>
      <c r="AW113" s="3538"/>
      <c r="AX113" s="900"/>
      <c r="AY113" s="3538"/>
      <c r="AZ113" s="901"/>
      <c r="BA113" s="898"/>
      <c r="BB113" s="898"/>
      <c r="BC113" s="898"/>
      <c r="BD113" s="898"/>
      <c r="BE113" s="898"/>
      <c r="BF113" s="898"/>
      <c r="BG113" s="898"/>
      <c r="BH113" s="898"/>
      <c r="BI113" s="898"/>
      <c r="BJ113" s="898"/>
      <c r="BK113" s="329"/>
      <c r="BL113" s="329"/>
      <c r="BM113" s="329"/>
      <c r="BN113" s="329"/>
      <c r="BO113" s="329"/>
      <c r="BP113" s="329"/>
      <c r="BQ113" s="329"/>
      <c r="BR113" s="329"/>
      <c r="BS113" s="329"/>
      <c r="BT113" s="329"/>
      <c r="BU113" s="329"/>
      <c r="BV113" s="329"/>
      <c r="BW113" s="329"/>
      <c r="BX113" s="329"/>
      <c r="BY113" s="329"/>
      <c r="BZ113" s="329"/>
      <c r="CA113" s="329"/>
      <c r="CB113" s="329"/>
    </row>
    <row r="114" spans="1:80" ht="15" customHeight="1">
      <c r="A114" s="4836"/>
      <c r="B114" s="4836"/>
      <c r="C114" s="4836"/>
      <c r="D114" s="4836"/>
      <c r="E114" s="4836"/>
      <c r="F114" s="4836"/>
      <c r="G114" s="4836"/>
      <c r="H114" s="4836"/>
      <c r="I114" s="4836"/>
      <c r="J114" s="4836"/>
      <c r="K114" s="4836"/>
      <c r="L114" s="4836"/>
      <c r="M114" s="4836"/>
      <c r="N114" s="4836"/>
      <c r="O114" s="4836"/>
      <c r="P114" s="4836"/>
      <c r="Q114" s="4836"/>
      <c r="R114" s="4836"/>
      <c r="S114" s="4836"/>
      <c r="T114" s="4836"/>
      <c r="U114" s="4836"/>
      <c r="V114" s="4836"/>
      <c r="W114" s="4836"/>
      <c r="X114" s="4836"/>
      <c r="Y114" s="898"/>
      <c r="Z114" s="898"/>
      <c r="AA114" s="898"/>
      <c r="AB114" s="898"/>
      <c r="AC114" s="899"/>
      <c r="AD114" s="899"/>
      <c r="AE114" s="899"/>
      <c r="AF114" s="899"/>
      <c r="AG114" s="899"/>
      <c r="AH114" s="899"/>
      <c r="AI114" s="899"/>
      <c r="AJ114" s="899"/>
      <c r="AK114" s="899"/>
      <c r="AL114" s="899"/>
      <c r="AM114" s="899"/>
      <c r="AN114" s="899"/>
      <c r="AO114" s="899"/>
      <c r="AP114" s="899"/>
      <c r="AQ114" s="899"/>
      <c r="AR114" s="899"/>
      <c r="AS114" s="899"/>
      <c r="AT114" s="899"/>
      <c r="AU114" s="899"/>
      <c r="AV114" s="3538"/>
      <c r="AW114" s="3538"/>
      <c r="AX114" s="900"/>
      <c r="AY114" s="3538"/>
      <c r="AZ114" s="901"/>
      <c r="BA114" s="898"/>
      <c r="BB114" s="898"/>
      <c r="BC114" s="898"/>
      <c r="BD114" s="898"/>
      <c r="BE114" s="898"/>
      <c r="BF114" s="898"/>
      <c r="BG114" s="898"/>
      <c r="BH114" s="898"/>
      <c r="BI114" s="898"/>
      <c r="BJ114" s="898"/>
      <c r="BK114" s="329"/>
      <c r="BL114" s="329"/>
      <c r="BM114" s="329"/>
      <c r="BN114" s="329"/>
      <c r="BO114" s="329"/>
      <c r="BP114" s="329"/>
      <c r="BQ114" s="329"/>
      <c r="BR114" s="329"/>
      <c r="BS114" s="329"/>
      <c r="BT114" s="329"/>
      <c r="BU114" s="329"/>
      <c r="BV114" s="329"/>
      <c r="BW114" s="329"/>
      <c r="BX114" s="329"/>
      <c r="BY114" s="329"/>
      <c r="BZ114" s="329"/>
      <c r="CA114" s="329"/>
      <c r="CB114" s="329"/>
    </row>
    <row r="115" spans="1:80" ht="15" customHeight="1">
      <c r="A115" s="4836"/>
      <c r="B115" s="4836"/>
      <c r="C115" s="4836"/>
      <c r="D115" s="4836"/>
      <c r="E115" s="4836"/>
      <c r="F115" s="4836"/>
      <c r="G115" s="4836"/>
      <c r="H115" s="4836"/>
      <c r="I115" s="4836"/>
      <c r="J115" s="4836"/>
      <c r="K115" s="4836"/>
      <c r="L115" s="4836"/>
      <c r="M115" s="4836"/>
      <c r="N115" s="4836"/>
      <c r="O115" s="4836"/>
      <c r="P115" s="4836"/>
      <c r="Q115" s="4836"/>
      <c r="R115" s="4836"/>
      <c r="S115" s="4836"/>
      <c r="T115" s="4836"/>
      <c r="U115" s="4836"/>
      <c r="V115" s="4836"/>
      <c r="W115" s="4836"/>
      <c r="X115" s="4836"/>
      <c r="Y115" s="3516"/>
      <c r="Z115" s="3516"/>
      <c r="AA115" s="898"/>
      <c r="AB115" s="898"/>
      <c r="AC115" s="899"/>
      <c r="AD115" s="899"/>
      <c r="AE115" s="899"/>
      <c r="AF115" s="899"/>
      <c r="AG115" s="899"/>
      <c r="AH115" s="899"/>
      <c r="AI115" s="899"/>
      <c r="AJ115" s="899"/>
      <c r="AK115" s="899"/>
      <c r="AL115" s="899"/>
      <c r="AM115" s="899"/>
      <c r="AN115" s="899"/>
      <c r="AO115" s="899"/>
      <c r="AP115" s="899"/>
      <c r="AQ115" s="899"/>
      <c r="AR115" s="899"/>
      <c r="AS115" s="899"/>
      <c r="AT115" s="899"/>
      <c r="AU115" s="899"/>
      <c r="AV115" s="3538"/>
      <c r="AW115" s="3538"/>
      <c r="AX115" s="900"/>
      <c r="AY115" s="3538"/>
      <c r="AZ115" s="901"/>
      <c r="BA115" s="898"/>
      <c r="BB115" s="898"/>
      <c r="BC115" s="898"/>
      <c r="BD115" s="898"/>
      <c r="BE115" s="898"/>
      <c r="BF115" s="898"/>
      <c r="BG115" s="898"/>
      <c r="BH115" s="898"/>
      <c r="BI115" s="898"/>
      <c r="BJ115" s="898"/>
      <c r="BK115" s="329"/>
      <c r="BL115" s="329"/>
      <c r="BM115" s="329"/>
      <c r="BN115" s="329"/>
      <c r="BO115" s="329"/>
      <c r="BP115" s="329"/>
      <c r="BQ115" s="329"/>
      <c r="BR115" s="329"/>
      <c r="BS115" s="329"/>
      <c r="BT115" s="329"/>
      <c r="BU115" s="329"/>
      <c r="BV115" s="329"/>
      <c r="BW115" s="329"/>
      <c r="BX115" s="329"/>
      <c r="BY115" s="329"/>
      <c r="BZ115" s="329"/>
      <c r="CA115" s="329"/>
      <c r="CB115" s="329"/>
    </row>
    <row r="116" spans="1:80" ht="15" customHeight="1">
      <c r="A116" s="4836"/>
      <c r="B116" s="4836"/>
      <c r="C116" s="4836"/>
      <c r="D116" s="4836"/>
      <c r="E116" s="4836"/>
      <c r="F116" s="4836"/>
      <c r="G116" s="4836"/>
      <c r="H116" s="4836"/>
      <c r="I116" s="4836"/>
      <c r="J116" s="4836"/>
      <c r="K116" s="4836"/>
      <c r="L116" s="4836"/>
      <c r="M116" s="4836"/>
      <c r="N116" s="4836"/>
      <c r="O116" s="4836"/>
      <c r="P116" s="4836"/>
      <c r="Q116" s="4836"/>
      <c r="R116" s="4836"/>
      <c r="S116" s="4836"/>
      <c r="T116" s="4836"/>
      <c r="U116" s="4836"/>
      <c r="V116" s="4836"/>
      <c r="W116" s="4836"/>
      <c r="X116" s="4836"/>
      <c r="Y116" s="3516"/>
      <c r="Z116" s="530"/>
      <c r="AA116" s="898"/>
      <c r="AB116" s="898"/>
      <c r="AC116" s="899"/>
      <c r="AD116" s="899"/>
      <c r="AE116" s="899"/>
      <c r="AF116" s="899"/>
      <c r="AG116" s="899"/>
      <c r="AH116" s="899"/>
      <c r="AI116" s="899"/>
      <c r="AJ116" s="899"/>
      <c r="AK116" s="899"/>
      <c r="AL116" s="899"/>
      <c r="AM116" s="899"/>
      <c r="AN116" s="899"/>
      <c r="AO116" s="899"/>
      <c r="AP116" s="899"/>
      <c r="AQ116" s="899"/>
      <c r="AR116" s="899"/>
      <c r="AS116" s="899"/>
      <c r="AT116" s="899"/>
      <c r="AU116" s="899"/>
      <c r="AV116" s="3538"/>
      <c r="AW116" s="3538"/>
      <c r="AX116" s="900"/>
      <c r="AY116" s="3538"/>
      <c r="AZ116" s="901"/>
      <c r="BA116" s="898"/>
      <c r="BB116" s="898"/>
      <c r="BC116" s="898"/>
      <c r="BD116" s="898"/>
      <c r="BE116" s="898"/>
      <c r="BF116" s="898"/>
      <c r="BG116" s="898"/>
      <c r="BH116" s="898"/>
      <c r="BI116" s="898"/>
      <c r="BJ116" s="898"/>
      <c r="BK116" s="329"/>
      <c r="BL116" s="329"/>
      <c r="BM116" s="329"/>
      <c r="BN116" s="329"/>
      <c r="BO116" s="329"/>
      <c r="BP116" s="329"/>
      <c r="BQ116" s="329"/>
      <c r="BR116" s="329"/>
      <c r="BS116" s="329"/>
      <c r="BT116" s="329"/>
      <c r="BU116" s="329"/>
      <c r="BV116" s="329"/>
      <c r="BW116" s="329"/>
      <c r="BX116" s="329"/>
      <c r="BY116" s="329"/>
      <c r="BZ116" s="329"/>
      <c r="CA116" s="329"/>
      <c r="CB116" s="329"/>
    </row>
    <row r="117" spans="1:80" ht="15" customHeight="1">
      <c r="A117" s="4836"/>
      <c r="B117" s="4836"/>
      <c r="C117" s="4836"/>
      <c r="D117" s="4836"/>
      <c r="E117" s="4836"/>
      <c r="F117" s="4836"/>
      <c r="G117" s="4836"/>
      <c r="H117" s="4836"/>
      <c r="I117" s="4836"/>
      <c r="J117" s="4836"/>
      <c r="K117" s="4836"/>
      <c r="L117" s="4836"/>
      <c r="M117" s="4836"/>
      <c r="N117" s="4836"/>
      <c r="O117" s="4836"/>
      <c r="P117" s="4836"/>
      <c r="Q117" s="4836"/>
      <c r="R117" s="4836"/>
      <c r="S117" s="4836"/>
      <c r="T117" s="4836"/>
      <c r="U117" s="4836"/>
      <c r="V117" s="4836"/>
      <c r="W117" s="4836"/>
      <c r="X117" s="4836"/>
      <c r="Y117" s="3516"/>
      <c r="Z117" s="514"/>
      <c r="AA117" s="898"/>
      <c r="AB117" s="898"/>
      <c r="AC117" s="899"/>
      <c r="AD117" s="899"/>
      <c r="AE117" s="899"/>
      <c r="AF117" s="899"/>
      <c r="AG117" s="899"/>
      <c r="AH117" s="899"/>
      <c r="AI117" s="899"/>
      <c r="AJ117" s="899"/>
      <c r="AK117" s="899"/>
      <c r="AL117" s="899"/>
      <c r="AM117" s="899"/>
      <c r="AN117" s="899"/>
      <c r="AO117" s="899"/>
      <c r="AP117" s="899"/>
      <c r="AQ117" s="899"/>
      <c r="AR117" s="899"/>
      <c r="AS117" s="899"/>
      <c r="AT117" s="899"/>
      <c r="AU117" s="899"/>
      <c r="AV117" s="3538"/>
      <c r="AW117" s="3538"/>
      <c r="AX117" s="900"/>
      <c r="AY117" s="3538"/>
      <c r="AZ117" s="901"/>
      <c r="BA117" s="898"/>
      <c r="BB117" s="898"/>
      <c r="BC117" s="898"/>
      <c r="BD117" s="898"/>
      <c r="BE117" s="898"/>
      <c r="BF117" s="898"/>
      <c r="BG117" s="898"/>
      <c r="BH117" s="898"/>
      <c r="BI117" s="898"/>
      <c r="BJ117" s="898"/>
      <c r="BK117" s="329"/>
      <c r="BL117" s="329"/>
      <c r="BM117" s="329"/>
      <c r="BN117" s="329"/>
      <c r="BO117" s="329"/>
      <c r="BP117" s="329"/>
      <c r="BQ117" s="329"/>
      <c r="BR117" s="329"/>
      <c r="BS117" s="329"/>
      <c r="BT117" s="329"/>
      <c r="BU117" s="329"/>
      <c r="BV117" s="329"/>
      <c r="BW117" s="329"/>
      <c r="BX117" s="329"/>
      <c r="BY117" s="329"/>
      <c r="BZ117" s="329"/>
      <c r="CA117" s="329"/>
      <c r="CB117" s="329"/>
    </row>
    <row r="118" spans="1:80" ht="15" customHeight="1">
      <c r="A118" s="4836"/>
      <c r="B118" s="4836"/>
      <c r="C118" s="4836"/>
      <c r="D118" s="4836"/>
      <c r="E118" s="4836"/>
      <c r="F118" s="4836"/>
      <c r="G118" s="4836"/>
      <c r="H118" s="4836"/>
      <c r="I118" s="4836"/>
      <c r="J118" s="4836"/>
      <c r="K118" s="4836"/>
      <c r="L118" s="4836"/>
      <c r="M118" s="4836"/>
      <c r="N118" s="4836"/>
      <c r="O118" s="4836"/>
      <c r="P118" s="4836"/>
      <c r="Q118" s="4836"/>
      <c r="R118" s="4836"/>
      <c r="S118" s="4836"/>
      <c r="T118" s="4836"/>
      <c r="U118" s="4836"/>
      <c r="V118" s="4836"/>
      <c r="W118" s="4836"/>
      <c r="X118" s="4836"/>
      <c r="Y118" s="3516"/>
      <c r="Z118" s="530"/>
      <c r="AA118" s="898"/>
      <c r="AB118" s="898"/>
      <c r="AC118" s="899"/>
      <c r="AD118" s="899"/>
      <c r="AE118" s="899"/>
      <c r="AF118" s="899"/>
      <c r="AG118" s="899"/>
      <c r="AH118" s="899"/>
      <c r="AI118" s="899"/>
      <c r="AJ118" s="899"/>
      <c r="AK118" s="899"/>
      <c r="AL118" s="899"/>
      <c r="AM118" s="899"/>
      <c r="AN118" s="899"/>
      <c r="AO118" s="899"/>
      <c r="AP118" s="899"/>
      <c r="AQ118" s="899"/>
      <c r="AR118" s="899"/>
      <c r="AS118" s="899"/>
      <c r="AT118" s="899"/>
      <c r="AU118" s="899"/>
      <c r="AV118" s="3538"/>
      <c r="AW118" s="3538"/>
      <c r="AX118" s="900"/>
      <c r="AY118" s="3538"/>
      <c r="AZ118" s="901"/>
      <c r="BA118" s="898"/>
      <c r="BB118" s="898"/>
      <c r="BC118" s="898"/>
      <c r="BD118" s="898"/>
      <c r="BE118" s="898"/>
      <c r="BF118" s="898"/>
      <c r="BG118" s="898"/>
      <c r="BH118" s="898"/>
      <c r="BI118" s="898"/>
      <c r="BJ118" s="898"/>
      <c r="BK118" s="329"/>
      <c r="BL118" s="329"/>
      <c r="BM118" s="329"/>
      <c r="BN118" s="329"/>
      <c r="BO118" s="329"/>
      <c r="BP118" s="329"/>
      <c r="BQ118" s="329"/>
      <c r="BR118" s="329"/>
      <c r="BS118" s="329"/>
      <c r="BT118" s="329"/>
      <c r="BU118" s="329"/>
      <c r="BV118" s="329"/>
      <c r="BW118" s="329"/>
      <c r="BX118" s="329"/>
      <c r="BY118" s="329"/>
      <c r="BZ118" s="329"/>
      <c r="CA118" s="329"/>
      <c r="CB118" s="329"/>
    </row>
    <row r="119" spans="1:80" ht="15" customHeight="1">
      <c r="A119" s="4836"/>
      <c r="B119" s="4836"/>
      <c r="C119" s="4836"/>
      <c r="D119" s="4836"/>
      <c r="E119" s="4836"/>
      <c r="F119" s="4836"/>
      <c r="G119" s="4836"/>
      <c r="H119" s="4836"/>
      <c r="I119" s="4836"/>
      <c r="J119" s="4836"/>
      <c r="K119" s="4836"/>
      <c r="L119" s="4836"/>
      <c r="M119" s="4836"/>
      <c r="N119" s="4836"/>
      <c r="O119" s="4836"/>
      <c r="P119" s="4836"/>
      <c r="Q119" s="4836"/>
      <c r="R119" s="4836"/>
      <c r="S119" s="4836"/>
      <c r="T119" s="4836"/>
      <c r="U119" s="4836"/>
      <c r="V119" s="4836"/>
      <c r="W119" s="4836"/>
      <c r="X119" s="4836"/>
      <c r="Y119" s="3516"/>
      <c r="Z119" s="514"/>
      <c r="AA119" s="898"/>
      <c r="AB119" s="898"/>
      <c r="AC119" s="899"/>
      <c r="AD119" s="899"/>
      <c r="AE119" s="899"/>
      <c r="AF119" s="899"/>
      <c r="AG119" s="899"/>
      <c r="AH119" s="899"/>
      <c r="AI119" s="899"/>
      <c r="AJ119" s="899"/>
      <c r="AK119" s="899"/>
      <c r="AL119" s="899"/>
      <c r="AM119" s="899"/>
      <c r="AN119" s="899"/>
      <c r="AO119" s="899"/>
      <c r="AP119" s="899"/>
      <c r="AQ119" s="899"/>
      <c r="AR119" s="899"/>
      <c r="AS119" s="899"/>
      <c r="AT119" s="899"/>
      <c r="AU119" s="899"/>
      <c r="AV119" s="3538"/>
      <c r="AW119" s="3538"/>
      <c r="AX119" s="900"/>
      <c r="AY119" s="3538"/>
      <c r="AZ119" s="901"/>
      <c r="BA119" s="898"/>
      <c r="BB119" s="898"/>
      <c r="BC119" s="898"/>
      <c r="BD119" s="898"/>
      <c r="BE119" s="898"/>
      <c r="BF119" s="898"/>
      <c r="BG119" s="898"/>
      <c r="BH119" s="898"/>
      <c r="BI119" s="898"/>
      <c r="BJ119" s="898"/>
      <c r="BK119" s="329"/>
      <c r="BL119" s="329"/>
      <c r="BM119" s="329"/>
      <c r="BN119" s="329"/>
      <c r="BO119" s="329"/>
      <c r="BP119" s="329"/>
      <c r="BQ119" s="329"/>
      <c r="BR119" s="329"/>
      <c r="BS119" s="329"/>
      <c r="BT119" s="329"/>
      <c r="BU119" s="329"/>
      <c r="BV119" s="329"/>
      <c r="BW119" s="329"/>
      <c r="BX119" s="329"/>
      <c r="BY119" s="329"/>
      <c r="BZ119" s="329"/>
      <c r="CA119" s="329"/>
      <c r="CB119" s="329"/>
    </row>
    <row r="120" spans="1:80" ht="15" customHeight="1">
      <c r="A120" s="4836"/>
      <c r="B120" s="4836"/>
      <c r="C120" s="4836"/>
      <c r="D120" s="4836"/>
      <c r="E120" s="4836"/>
      <c r="F120" s="4836"/>
      <c r="G120" s="4836"/>
      <c r="H120" s="4836"/>
      <c r="I120" s="4836"/>
      <c r="J120" s="4836"/>
      <c r="K120" s="4836"/>
      <c r="L120" s="4836"/>
      <c r="M120" s="4836"/>
      <c r="N120" s="4836"/>
      <c r="O120" s="4836"/>
      <c r="P120" s="4836"/>
      <c r="Q120" s="4836"/>
      <c r="R120" s="4836"/>
      <c r="S120" s="4836"/>
      <c r="T120" s="4836"/>
      <c r="U120" s="4836"/>
      <c r="V120" s="4836"/>
      <c r="W120" s="4836"/>
      <c r="X120" s="4836"/>
      <c r="Y120" s="3516"/>
      <c r="Z120" s="530"/>
      <c r="AA120" s="898"/>
      <c r="AB120" s="898"/>
      <c r="AC120" s="899"/>
      <c r="AD120" s="899"/>
      <c r="AE120" s="899"/>
      <c r="AF120" s="899"/>
      <c r="AG120" s="899"/>
      <c r="AH120" s="899"/>
      <c r="AI120" s="899"/>
      <c r="AJ120" s="899"/>
      <c r="AK120" s="899"/>
      <c r="AL120" s="899"/>
      <c r="AM120" s="899"/>
      <c r="AN120" s="899"/>
      <c r="AO120" s="899"/>
      <c r="AP120" s="899"/>
      <c r="AQ120" s="899"/>
      <c r="AR120" s="899"/>
      <c r="AS120" s="899"/>
      <c r="AT120" s="899"/>
      <c r="AU120" s="899"/>
      <c r="AV120" s="3538"/>
      <c r="AW120" s="3538"/>
      <c r="AX120" s="900"/>
      <c r="AY120" s="3538"/>
      <c r="AZ120" s="901"/>
      <c r="BA120" s="898"/>
      <c r="BB120" s="898"/>
      <c r="BC120" s="898"/>
      <c r="BD120" s="898"/>
      <c r="BE120" s="898"/>
      <c r="BF120" s="898"/>
      <c r="BG120" s="898"/>
      <c r="BH120" s="898"/>
      <c r="BI120" s="898"/>
      <c r="BJ120" s="898"/>
      <c r="BK120" s="329"/>
      <c r="BL120" s="329"/>
      <c r="BM120" s="329"/>
      <c r="BN120" s="329"/>
      <c r="BO120" s="329"/>
      <c r="BP120" s="329"/>
      <c r="BQ120" s="329"/>
      <c r="BR120" s="329"/>
      <c r="BS120" s="329"/>
      <c r="BT120" s="329"/>
      <c r="BU120" s="329"/>
      <c r="BV120" s="329"/>
      <c r="BW120" s="329"/>
      <c r="BX120" s="329"/>
      <c r="BY120" s="329"/>
      <c r="BZ120" s="329"/>
      <c r="CA120" s="329"/>
      <c r="CB120" s="329"/>
    </row>
    <row r="121" spans="1:80" ht="15" customHeight="1">
      <c r="A121" s="4836"/>
      <c r="B121" s="4836"/>
      <c r="C121" s="4836"/>
      <c r="D121" s="4836"/>
      <c r="E121" s="4836"/>
      <c r="F121" s="4836"/>
      <c r="G121" s="4836"/>
      <c r="H121" s="4836"/>
      <c r="I121" s="4836"/>
      <c r="J121" s="4836"/>
      <c r="K121" s="4836"/>
      <c r="L121" s="4836"/>
      <c r="M121" s="4836"/>
      <c r="N121" s="4836"/>
      <c r="O121" s="4836"/>
      <c r="P121" s="4836"/>
      <c r="Q121" s="4836"/>
      <c r="R121" s="4836"/>
      <c r="S121" s="4836"/>
      <c r="T121" s="4836"/>
      <c r="U121" s="4836"/>
      <c r="V121" s="4836"/>
      <c r="W121" s="4836"/>
      <c r="X121" s="4836"/>
      <c r="Y121" s="3516"/>
      <c r="Z121" s="514"/>
      <c r="AA121" s="898"/>
      <c r="AB121" s="898"/>
      <c r="AC121" s="899"/>
      <c r="AD121" s="899"/>
      <c r="AE121" s="899"/>
      <c r="AF121" s="899"/>
      <c r="AG121" s="899"/>
      <c r="AH121" s="899"/>
      <c r="AI121" s="899"/>
      <c r="AJ121" s="899"/>
      <c r="AK121" s="899"/>
      <c r="AL121" s="899"/>
      <c r="AM121" s="899"/>
      <c r="AN121" s="899"/>
      <c r="AO121" s="899"/>
      <c r="AP121" s="899"/>
      <c r="AQ121" s="899"/>
      <c r="AR121" s="899"/>
      <c r="AS121" s="899"/>
      <c r="AT121" s="899"/>
      <c r="AU121" s="899"/>
      <c r="AV121" s="3538"/>
      <c r="AW121" s="3538"/>
      <c r="AX121" s="900"/>
      <c r="AY121" s="3538"/>
      <c r="AZ121" s="901"/>
      <c r="BA121" s="898"/>
      <c r="BB121" s="898"/>
      <c r="BC121" s="898"/>
      <c r="BD121" s="898"/>
      <c r="BE121" s="898"/>
      <c r="BF121" s="898"/>
      <c r="BG121" s="898"/>
      <c r="BH121" s="898"/>
      <c r="BI121" s="898"/>
      <c r="BJ121" s="898"/>
      <c r="BK121" s="329"/>
      <c r="BL121" s="329"/>
      <c r="BM121" s="329"/>
      <c r="BN121" s="329"/>
      <c r="BO121" s="329"/>
      <c r="BP121" s="329"/>
      <c r="BQ121" s="329"/>
      <c r="BR121" s="329"/>
      <c r="BS121" s="329"/>
      <c r="BT121" s="329"/>
      <c r="BU121" s="329"/>
      <c r="BV121" s="329"/>
      <c r="BW121" s="329"/>
      <c r="BX121" s="329"/>
      <c r="BY121" s="329"/>
      <c r="BZ121" s="329"/>
      <c r="CA121" s="329"/>
      <c r="CB121" s="329"/>
    </row>
    <row r="122" spans="1:80" ht="15" customHeight="1">
      <c r="A122" s="492"/>
      <c r="B122" s="567" t="s">
        <v>373</v>
      </c>
      <c r="C122" s="168">
        <v>0.04</v>
      </c>
      <c r="D122" s="169">
        <v>4.1500000000000004</v>
      </c>
      <c r="E122" s="4834" t="s">
        <v>226</v>
      </c>
      <c r="F122" s="4835"/>
      <c r="G122" s="106"/>
      <c r="H122" s="482"/>
      <c r="I122" s="482"/>
      <c r="J122" s="482"/>
      <c r="K122" s="492"/>
      <c r="L122" s="492"/>
      <c r="M122" s="492"/>
      <c r="N122" s="492"/>
      <c r="O122" s="492"/>
      <c r="P122" s="492"/>
      <c r="Q122" s="492"/>
      <c r="R122" s="492"/>
      <c r="S122" s="483"/>
      <c r="T122" s="483"/>
      <c r="U122" s="483"/>
      <c r="V122" s="483"/>
      <c r="W122" s="483"/>
      <c r="X122" s="492"/>
      <c r="Y122" s="492"/>
      <c r="Z122" s="530"/>
      <c r="AA122" s="898"/>
      <c r="AB122" s="898"/>
      <c r="AC122" s="899"/>
      <c r="AD122" s="899"/>
      <c r="AE122" s="899"/>
      <c r="AF122" s="899"/>
      <c r="AG122" s="899"/>
      <c r="AH122" s="899"/>
      <c r="AI122" s="899"/>
      <c r="AJ122" s="899"/>
      <c r="AK122" s="899"/>
      <c r="AL122" s="899"/>
      <c r="AM122" s="899"/>
      <c r="AN122" s="899"/>
      <c r="AO122" s="899"/>
      <c r="AP122" s="899"/>
      <c r="AQ122" s="899"/>
      <c r="AR122" s="899"/>
      <c r="AS122" s="899"/>
      <c r="AT122" s="899"/>
      <c r="AU122" s="899"/>
      <c r="AV122" s="3538"/>
      <c r="AW122" s="3538"/>
      <c r="AX122" s="900"/>
      <c r="AY122" s="3538"/>
      <c r="AZ122" s="901"/>
      <c r="BA122" s="898"/>
      <c r="BB122" s="898"/>
      <c r="BC122" s="898"/>
      <c r="BD122" s="898"/>
      <c r="BE122" s="898"/>
      <c r="BF122" s="898"/>
      <c r="BG122" s="898"/>
      <c r="BH122" s="898"/>
      <c r="BI122" s="898"/>
      <c r="BJ122" s="898"/>
      <c r="BK122" s="329"/>
      <c r="BL122" s="329"/>
      <c r="BM122" s="329"/>
      <c r="BN122" s="329"/>
      <c r="BO122" s="329"/>
      <c r="BP122" s="329"/>
      <c r="BQ122" s="329"/>
      <c r="BR122" s="329"/>
      <c r="BS122" s="329"/>
      <c r="BT122" s="329"/>
      <c r="BU122" s="329"/>
      <c r="BV122" s="329"/>
      <c r="BW122" s="329"/>
      <c r="BX122" s="329"/>
      <c r="BY122" s="329"/>
      <c r="BZ122" s="329"/>
      <c r="CA122" s="329"/>
      <c r="CB122" s="329"/>
    </row>
    <row r="123" spans="1:80" ht="15" customHeight="1">
      <c r="A123" s="492"/>
      <c r="B123" s="567"/>
      <c r="C123" s="170">
        <v>0.04</v>
      </c>
      <c r="D123" s="170">
        <v>4.1500000000000004</v>
      </c>
      <c r="E123" s="4832" t="s">
        <v>227</v>
      </c>
      <c r="F123" s="4833"/>
      <c r="G123" s="492"/>
      <c r="H123" s="482"/>
      <c r="I123" s="482"/>
      <c r="J123" s="482"/>
      <c r="K123" s="492"/>
      <c r="L123" s="492"/>
      <c r="M123" s="492"/>
      <c r="N123" s="492"/>
      <c r="O123" s="492"/>
      <c r="P123" s="492"/>
      <c r="Q123" s="492"/>
      <c r="R123" s="492"/>
      <c r="S123" s="483"/>
      <c r="T123" s="483"/>
      <c r="U123" s="483"/>
      <c r="V123" s="483"/>
      <c r="W123" s="483"/>
      <c r="X123" s="492"/>
      <c r="Y123" s="492"/>
      <c r="Z123" s="514"/>
      <c r="AA123" s="898"/>
      <c r="AB123" s="898"/>
      <c r="AC123" s="899"/>
      <c r="AD123" s="899"/>
      <c r="AE123" s="899"/>
      <c r="AF123" s="899"/>
      <c r="AG123" s="899"/>
      <c r="AH123" s="899"/>
      <c r="AI123" s="899"/>
      <c r="AJ123" s="899"/>
      <c r="AK123" s="899"/>
      <c r="AL123" s="899"/>
      <c r="AM123" s="899"/>
      <c r="AN123" s="899"/>
      <c r="AO123" s="899"/>
      <c r="AP123" s="899"/>
      <c r="AQ123" s="899"/>
      <c r="AR123" s="899"/>
      <c r="AS123" s="899"/>
      <c r="AT123" s="899"/>
      <c r="AU123" s="899"/>
      <c r="AV123" s="3538"/>
      <c r="AW123" s="3538"/>
      <c r="AX123" s="900"/>
      <c r="AY123" s="3538"/>
      <c r="AZ123" s="901"/>
      <c r="BA123" s="898"/>
      <c r="BB123" s="898"/>
      <c r="BC123" s="898"/>
      <c r="BD123" s="898"/>
      <c r="BE123" s="898"/>
      <c r="BF123" s="898"/>
      <c r="BG123" s="898"/>
      <c r="BH123" s="898"/>
      <c r="BI123" s="898"/>
      <c r="BJ123" s="898"/>
      <c r="BK123" s="313"/>
      <c r="BL123" s="313"/>
      <c r="BM123" s="329"/>
      <c r="BN123" s="329"/>
      <c r="BO123" s="329"/>
      <c r="BP123" s="329"/>
      <c r="BQ123" s="329"/>
      <c r="BR123" s="329"/>
      <c r="BS123" s="329"/>
      <c r="BT123" s="329"/>
      <c r="BU123" s="329"/>
      <c r="BV123" s="329"/>
      <c r="BW123" s="329"/>
      <c r="BX123" s="329"/>
      <c r="BY123" s="329"/>
      <c r="BZ123" s="329"/>
      <c r="CA123" s="329"/>
      <c r="CB123" s="329"/>
    </row>
    <row r="124" spans="1:80" ht="15" customHeight="1">
      <c r="A124" s="530"/>
      <c r="B124" s="4831" t="s">
        <v>1846</v>
      </c>
      <c r="C124" s="4831"/>
      <c r="D124" s="4831"/>
      <c r="E124" s="4831"/>
      <c r="F124" s="530"/>
      <c r="G124" s="530"/>
      <c r="H124" s="482"/>
      <c r="I124" s="482"/>
      <c r="J124" s="4779" t="s">
        <v>318</v>
      </c>
      <c r="K124" s="4779"/>
      <c r="L124" s="4779"/>
      <c r="M124" s="4779"/>
      <c r="N124" s="4779"/>
      <c r="O124" s="4779"/>
      <c r="P124" s="4779"/>
      <c r="Q124" s="4779"/>
      <c r="R124" s="4779"/>
      <c r="S124" s="4779"/>
      <c r="T124" s="4779"/>
      <c r="U124" s="483"/>
      <c r="V124" s="483"/>
      <c r="W124" s="483"/>
      <c r="X124" s="530"/>
      <c r="Y124" s="530"/>
      <c r="Z124" s="530"/>
      <c r="AA124" s="898"/>
      <c r="AB124" s="898"/>
      <c r="AC124" s="899"/>
      <c r="AD124" s="899"/>
      <c r="AE124" s="899"/>
      <c r="AF124" s="899"/>
      <c r="AG124" s="899"/>
      <c r="AH124" s="899"/>
      <c r="AI124" s="899"/>
      <c r="AJ124" s="899"/>
      <c r="AK124" s="899"/>
      <c r="AL124" s="899"/>
      <c r="AM124" s="899"/>
      <c r="AN124" s="899"/>
      <c r="AO124" s="899"/>
      <c r="AP124" s="899"/>
      <c r="AQ124" s="899"/>
      <c r="AR124" s="899"/>
      <c r="AS124" s="899"/>
      <c r="AT124" s="899"/>
      <c r="AU124" s="899"/>
      <c r="AV124" s="3538"/>
      <c r="AW124" s="3538"/>
      <c r="AX124" s="900"/>
      <c r="AY124" s="3538"/>
      <c r="AZ124" s="901"/>
      <c r="BA124" s="898"/>
      <c r="BB124" s="898"/>
      <c r="BC124" s="898"/>
      <c r="BD124" s="898"/>
      <c r="BE124" s="898"/>
      <c r="BF124" s="898"/>
      <c r="BG124" s="898"/>
      <c r="BH124" s="898"/>
      <c r="BI124" s="898"/>
      <c r="BJ124" s="898"/>
      <c r="BK124" s="313"/>
      <c r="BL124" s="313"/>
      <c r="BM124" s="329"/>
      <c r="BN124" s="329"/>
      <c r="BO124" s="329"/>
      <c r="BP124" s="329"/>
      <c r="BQ124" s="329"/>
      <c r="BR124" s="329"/>
      <c r="BS124" s="329"/>
      <c r="BT124" s="329"/>
      <c r="BU124" s="329"/>
      <c r="BV124" s="329"/>
      <c r="BW124" s="329"/>
      <c r="BX124" s="329"/>
      <c r="BY124" s="329"/>
      <c r="BZ124" s="329"/>
      <c r="CA124" s="329"/>
      <c r="CB124" s="329"/>
    </row>
    <row r="125" spans="1:80" ht="15" customHeight="1">
      <c r="A125" s="514"/>
      <c r="B125" s="514"/>
      <c r="C125" s="363"/>
      <c r="D125" s="514"/>
      <c r="E125" s="514"/>
      <c r="F125" s="514"/>
      <c r="G125" s="514"/>
      <c r="H125" s="482"/>
      <c r="I125" s="482"/>
      <c r="J125" s="482"/>
      <c r="K125" s="514"/>
      <c r="L125" s="514"/>
      <c r="M125" s="514"/>
      <c r="N125" s="514"/>
      <c r="O125" s="514"/>
      <c r="P125" s="514"/>
      <c r="Q125" s="514"/>
      <c r="R125" s="514"/>
      <c r="S125" s="569"/>
      <c r="T125" s="569"/>
      <c r="U125" s="569"/>
      <c r="V125" s="569"/>
      <c r="W125" s="569"/>
      <c r="X125" s="514"/>
      <c r="Y125" s="514"/>
      <c r="Z125" s="514"/>
      <c r="AA125" s="898"/>
      <c r="AB125" s="898"/>
      <c r="AC125" s="899"/>
      <c r="AD125" s="899"/>
      <c r="AE125" s="899"/>
      <c r="AF125" s="899"/>
      <c r="AG125" s="899"/>
      <c r="AH125" s="899"/>
      <c r="AI125" s="899"/>
      <c r="AJ125" s="899"/>
      <c r="AK125" s="899"/>
      <c r="AL125" s="899"/>
      <c r="AM125" s="899"/>
      <c r="AN125" s="899"/>
      <c r="AO125" s="899"/>
      <c r="AP125" s="899"/>
      <c r="AQ125" s="899"/>
      <c r="AR125" s="899"/>
      <c r="AS125" s="899"/>
      <c r="AT125" s="899"/>
      <c r="AU125" s="899"/>
      <c r="AV125" s="3538"/>
      <c r="AW125" s="3538"/>
      <c r="AX125" s="900"/>
      <c r="AY125" s="3538"/>
      <c r="AZ125" s="901"/>
      <c r="BA125" s="898"/>
      <c r="BB125" s="898"/>
      <c r="BC125" s="898"/>
      <c r="BD125" s="898"/>
      <c r="BE125" s="898"/>
      <c r="BF125" s="898"/>
      <c r="BG125" s="898"/>
      <c r="BH125" s="898"/>
      <c r="BI125" s="898"/>
      <c r="BJ125" s="898"/>
      <c r="BK125" s="313"/>
      <c r="BL125" s="313"/>
      <c r="BM125" s="329"/>
      <c r="BN125" s="329"/>
      <c r="BO125" s="329"/>
      <c r="BP125" s="329"/>
      <c r="BQ125" s="329"/>
      <c r="BR125" s="329"/>
      <c r="BS125" s="329"/>
      <c r="BT125" s="329"/>
      <c r="BU125" s="329"/>
      <c r="BV125" s="329"/>
      <c r="BW125" s="329"/>
      <c r="BX125" s="329"/>
      <c r="BY125" s="329"/>
      <c r="BZ125" s="329"/>
      <c r="CA125" s="329"/>
      <c r="CB125" s="329"/>
    </row>
  </sheetData>
  <sheetProtection password="FA80" sheet="1" objects="1" scenarios="1"/>
  <mergeCells count="164">
    <mergeCell ref="BG1:BH1"/>
    <mergeCell ref="BK3:BK9"/>
    <mergeCell ref="J83:K83"/>
    <mergeCell ref="J82:K82"/>
    <mergeCell ref="N79:O79"/>
    <mergeCell ref="BD80:BE80"/>
    <mergeCell ref="BB81:BC81"/>
    <mergeCell ref="BD81:BE81"/>
    <mergeCell ref="BA73:BC73"/>
    <mergeCell ref="BA77:BB77"/>
    <mergeCell ref="I65:Z65"/>
    <mergeCell ref="V66:Z67"/>
    <mergeCell ref="P64:T64"/>
    <mergeCell ref="V64:Z64"/>
    <mergeCell ref="O73:T73"/>
    <mergeCell ref="J66:N67"/>
    <mergeCell ref="I13:K13"/>
    <mergeCell ref="I14:K14"/>
    <mergeCell ref="I15:K15"/>
    <mergeCell ref="I29:T29"/>
    <mergeCell ref="I72:N72"/>
    <mergeCell ref="I28:T28"/>
    <mergeCell ref="U28:Z28"/>
    <mergeCell ref="BA46:BC46"/>
    <mergeCell ref="A1:B1"/>
    <mergeCell ref="C9:G9"/>
    <mergeCell ref="G67:H67"/>
    <mergeCell ref="A32:A45"/>
    <mergeCell ref="A46:A48"/>
    <mergeCell ref="B70:C70"/>
    <mergeCell ref="D10:F10"/>
    <mergeCell ref="G71:H71"/>
    <mergeCell ref="D12:F12"/>
    <mergeCell ref="D25:F25"/>
    <mergeCell ref="A58:A62"/>
    <mergeCell ref="D66:F66"/>
    <mergeCell ref="G66:H66"/>
    <mergeCell ref="D24:F24"/>
    <mergeCell ref="G70:H70"/>
    <mergeCell ref="G69:H69"/>
    <mergeCell ref="D13:F13"/>
    <mergeCell ref="D14:G14"/>
    <mergeCell ref="D15:G15"/>
    <mergeCell ref="H15:H16"/>
    <mergeCell ref="D26:F26"/>
    <mergeCell ref="D16:G16"/>
    <mergeCell ref="D17:F17"/>
    <mergeCell ref="D11:F11"/>
    <mergeCell ref="A4:C4"/>
    <mergeCell ref="C5:G5"/>
    <mergeCell ref="D6:F6"/>
    <mergeCell ref="D7:G7"/>
    <mergeCell ref="B28:F30"/>
    <mergeCell ref="G28:H30"/>
    <mergeCell ref="B22:H22"/>
    <mergeCell ref="B23:C23"/>
    <mergeCell ref="D23:G23"/>
    <mergeCell ref="B124:E124"/>
    <mergeCell ref="E123:F123"/>
    <mergeCell ref="E122:F122"/>
    <mergeCell ref="A111:X121"/>
    <mergeCell ref="D72:F72"/>
    <mergeCell ref="I73:N73"/>
    <mergeCell ref="C84:D84"/>
    <mergeCell ref="C85:H86"/>
    <mergeCell ref="C88:D88"/>
    <mergeCell ref="D89:E89"/>
    <mergeCell ref="C90:I90"/>
    <mergeCell ref="B81:C81"/>
    <mergeCell ref="A109:B109"/>
    <mergeCell ref="J81:K81"/>
    <mergeCell ref="J79:K79"/>
    <mergeCell ref="E81:H81"/>
    <mergeCell ref="B75:H80"/>
    <mergeCell ref="E82:F82"/>
    <mergeCell ref="G72:H72"/>
    <mergeCell ref="B82:C82"/>
    <mergeCell ref="O72:T72"/>
    <mergeCell ref="B74:H74"/>
    <mergeCell ref="D73:E73"/>
    <mergeCell ref="G73:H73"/>
    <mergeCell ref="CA1:CB1"/>
    <mergeCell ref="BH3:BJ3"/>
    <mergeCell ref="BI1:BJ1"/>
    <mergeCell ref="BM28:BN28"/>
    <mergeCell ref="BM1:BO1"/>
    <mergeCell ref="BL29:CA29"/>
    <mergeCell ref="J124:T124"/>
    <mergeCell ref="O74:T77"/>
    <mergeCell ref="I74:N77"/>
    <mergeCell ref="U74:Z77"/>
    <mergeCell ref="U73:Z73"/>
    <mergeCell ref="J86:K86"/>
    <mergeCell ref="U72:Z72"/>
    <mergeCell ref="J85:K85"/>
    <mergeCell ref="J87:K87"/>
    <mergeCell ref="J88:K88"/>
    <mergeCell ref="J89:K89"/>
    <mergeCell ref="AL4:AQ4"/>
    <mergeCell ref="J19:Q20"/>
    <mergeCell ref="BA28:BC28"/>
    <mergeCell ref="I16:K16"/>
    <mergeCell ref="BH107:BJ107"/>
    <mergeCell ref="I9:Q9"/>
    <mergeCell ref="BH108:BJ108"/>
    <mergeCell ref="P79:Q79"/>
    <mergeCell ref="A92:B92"/>
    <mergeCell ref="B93:C93"/>
    <mergeCell ref="B94:BC106"/>
    <mergeCell ref="BE104:BG104"/>
    <mergeCell ref="BH104:BJ104"/>
    <mergeCell ref="BH105:BJ105"/>
    <mergeCell ref="BH106:BJ106"/>
    <mergeCell ref="BE105:BG105"/>
    <mergeCell ref="BE106:BG106"/>
    <mergeCell ref="BB80:BC80"/>
    <mergeCell ref="AC21:AZ21"/>
    <mergeCell ref="BE107:BG107"/>
    <mergeCell ref="BE108:BG108"/>
    <mergeCell ref="A49:A57"/>
    <mergeCell ref="D63:F63"/>
    <mergeCell ref="D71:F71"/>
    <mergeCell ref="BE24:BG24"/>
    <mergeCell ref="BI5:BI17"/>
    <mergeCell ref="BA70:BF70"/>
    <mergeCell ref="BA69:BF69"/>
    <mergeCell ref="BA68:BF68"/>
    <mergeCell ref="BA67:BF67"/>
    <mergeCell ref="BA66:BF66"/>
    <mergeCell ref="B64:F64"/>
    <mergeCell ref="G64:H64"/>
    <mergeCell ref="J64:N64"/>
    <mergeCell ref="C68:F68"/>
    <mergeCell ref="G68:H68"/>
    <mergeCell ref="G65:H65"/>
    <mergeCell ref="P66:T67"/>
    <mergeCell ref="D67:F67"/>
    <mergeCell ref="U29:Z30"/>
    <mergeCell ref="J84:K84"/>
    <mergeCell ref="L79:M79"/>
    <mergeCell ref="O1:S2"/>
    <mergeCell ref="BD72:BE72"/>
    <mergeCell ref="BD73:BI75"/>
    <mergeCell ref="BB78:BD78"/>
    <mergeCell ref="BF78:BG78"/>
    <mergeCell ref="BC47:BD47"/>
    <mergeCell ref="BC48:BD48"/>
    <mergeCell ref="BC49:BD49"/>
    <mergeCell ref="BC50:BD50"/>
    <mergeCell ref="BC51:BD51"/>
    <mergeCell ref="BC52:BD52"/>
    <mergeCell ref="BC53:BD53"/>
    <mergeCell ref="BA72:BC72"/>
    <mergeCell ref="L6:O7"/>
    <mergeCell ref="I10:Q10"/>
    <mergeCell ref="L11:M11"/>
    <mergeCell ref="N11:O11"/>
    <mergeCell ref="P11:Q11"/>
    <mergeCell ref="I12:K12"/>
    <mergeCell ref="AC30:AD30"/>
    <mergeCell ref="I17:K17"/>
    <mergeCell ref="I30:N30"/>
    <mergeCell ref="O30:T30"/>
    <mergeCell ref="L21:O21"/>
  </mergeCells>
  <conditionalFormatting sqref="C69">
    <cfRule type="cellIs" dxfId="50" priority="21" stopIfTrue="1" operator="between">
      <formula>2.7</formula>
      <formula>4</formula>
    </cfRule>
    <cfRule type="cellIs" dxfId="49" priority="22" stopIfTrue="1" operator="greaterThan">
      <formula>4</formula>
    </cfRule>
  </conditionalFormatting>
  <conditionalFormatting sqref="C72 C7">
    <cfRule type="cellIs" dxfId="48" priority="17" operator="notEqual">
      <formula>75</formula>
    </cfRule>
    <cfRule type="cellIs" dxfId="47" priority="18" operator="notEqual">
      <formula>75</formula>
    </cfRule>
    <cfRule type="cellIs" dxfId="46" priority="19" operator="notEqual">
      <formula>75</formula>
    </cfRule>
    <cfRule type="cellIs" dxfId="45" priority="20" operator="notEqual">
      <formula>75</formula>
    </cfRule>
  </conditionalFormatting>
  <conditionalFormatting sqref="C72 C7">
    <cfRule type="cellIs" dxfId="44" priority="16" operator="notEqual">
      <formula>75</formula>
    </cfRule>
  </conditionalFormatting>
  <conditionalFormatting sqref="C72 C7">
    <cfRule type="cellIs" dxfId="43" priority="13" operator="notEqual">
      <formula>75</formula>
    </cfRule>
    <cfRule type="cellIs" dxfId="42" priority="14" operator="notEqual">
      <formula>75</formula>
    </cfRule>
    <cfRule type="cellIs" dxfId="41" priority="15" operator="notEqual">
      <formula>75</formula>
    </cfRule>
  </conditionalFormatting>
  <conditionalFormatting sqref="C72 C7">
    <cfRule type="cellIs" dxfId="40" priority="11" operator="notEqual">
      <formula>75</formula>
    </cfRule>
    <cfRule type="cellIs" dxfId="39" priority="12" operator="notEqual">
      <formula>75</formula>
    </cfRule>
  </conditionalFormatting>
  <conditionalFormatting sqref="C7">
    <cfRule type="cellIs" dxfId="38" priority="4" operator="notEqual">
      <formula>75</formula>
    </cfRule>
    <cfRule type="cellIs" dxfId="37" priority="5" operator="notEqual">
      <formula>75</formula>
    </cfRule>
    <cfRule type="cellIs" dxfId="36" priority="6" operator="notEqual">
      <formula>75</formula>
    </cfRule>
    <cfRule type="cellIs" dxfId="35" priority="7" operator="notEqual">
      <formula>75</formula>
    </cfRule>
    <cfRule type="cellIs" dxfId="34" priority="8" operator="notEqual">
      <formula>75</formula>
    </cfRule>
    <cfRule type="cellIs" dxfId="33" priority="9" operator="notEqual">
      <formula>75</formula>
    </cfRule>
    <cfRule type="cellIs" dxfId="32" priority="10" operator="notEqual">
      <formula>75</formula>
    </cfRule>
  </conditionalFormatting>
  <conditionalFormatting sqref="V68:Z68">
    <cfRule type="cellIs" dxfId="31" priority="3" operator="greaterThan">
      <formula>U68</formula>
    </cfRule>
  </conditionalFormatting>
  <conditionalFormatting sqref="J68:N68">
    <cfRule type="cellIs" dxfId="30" priority="2" operator="greaterThan">
      <formula>I68</formula>
    </cfRule>
  </conditionalFormatting>
  <conditionalFormatting sqref="P68:T68">
    <cfRule type="cellIs" dxfId="29" priority="1" operator="greaterThan">
      <formula>O68</formula>
    </cfRule>
  </conditionalFormatting>
  <hyperlinks>
    <hyperlink ref="C5" location="'Beer Calc'!A134" display="Technical Section"/>
    <hyperlink ref="L21" location="'Extract Calc'!B22" display="(For details, see the &quot;Extract Calc.&quot;)"/>
    <hyperlink ref="D65" location="Beer!BA66" display="g ̸ litre"/>
    <hyperlink ref="B70" location="'Primer'!D1" display="Priming Calc's. For Beers Etc."/>
    <hyperlink ref="D72" location="'Beer Data Sheet'!AO4" display=" (76% nominally)"/>
    <hyperlink ref="C5:H5" location="Beer!A126" display="To amend ̸ modify any data, please refer to the &quot;Technical Section&quot;."/>
    <hyperlink ref="B65" location="Beer!BA72" display="Beer!BA72"/>
    <hyperlink ref="C15" location="Beer!O30" display="Beer!O30"/>
    <hyperlink ref="C14" location="Beer!I30" display="Beer!I30"/>
    <hyperlink ref="C16" location="Beer!U29" display="Beer!U29"/>
    <hyperlink ref="D23:G23" location="Beer!C6" display="† These values are dependant on cell C6)"/>
    <hyperlink ref="I65" location="'Beer Data Sheet'!N15" display="See &quot;Beer Data Sheet&quot; cells N15 etc. for the Isomerised hop extract settings."/>
    <hyperlink ref="C5:G5" location="Beer!A109" display="To amend ̸ modify any data, please refer to the &quot;Technical Section&quot;."/>
    <hyperlink ref="B124:D124" location="Beer!AY24" display="Use this to change the hop boil settings (cells AY24 / BM45)."/>
    <hyperlink ref="B124:E124" location="Beer!BL3" display="Use this to change the hop boil settings (cells BL3 ̸ CA27)."/>
    <hyperlink ref="BL29" location="'Beer Calc'!C151" display="See the hop utilization setting (cells C151 etc.)"/>
    <hyperlink ref="BL29:BR29" location="Beer!C143" display="See the hop utilization setting (cells C143 &amp; D143)"/>
    <hyperlink ref="BL29:BQ29" location="Beer!C142" display="See the hop utilization setting (cells C142 etc.)"/>
    <hyperlink ref="BL29:BY29" location="Beer!C124" display=" See the hop utilization setting (cells C124 &amp; D124)"/>
    <hyperlink ref="BH3" r:id="rId1"/>
    <hyperlink ref="C90:I90" location="'Beer Data Sheet'!T16" display=" Note:- 1 ml of Ritchie's hop extract in 1 litre of beer adds 69 EBU's. See &quot;Beer Data Sheet&quot; cell T16."/>
    <hyperlink ref="BA70" location="'Primer'!D1" display="Priming Calc's. For Beers Etc."/>
    <hyperlink ref="BA72" location="'Beer Data Sheet'!P20" display="=&quot;1 level 5ml tsp sugar = &quot;&amp;'Beer Data Sheet'!P20&amp;&quot;g&quot;"/>
    <hyperlink ref="BA70:BE70" location="Primer!F1" display="For more information about &quot;carbonation&quot; see &quot;Beer Primer&quot; page."/>
    <hyperlink ref="BH107" r:id="rId2"/>
    <hyperlink ref="BH108" r:id="rId3"/>
    <hyperlink ref="BH105" r:id="rId4"/>
    <hyperlink ref="BH106" r:id="rId5"/>
    <hyperlink ref="L21:O21" location="Extract!N1" display="(For details, see the &quot;Extract Calc.&quot;)"/>
    <hyperlink ref="H15:H16" location="Beer!BI5" display="Beer!BI5"/>
    <hyperlink ref="B70:C70" location="Primer!F1" display="For more info. see the &quot;Beer Primer&quot; page."/>
    <hyperlink ref="BL29:CA29" location="Beer!C122" display=" See the hop utilization setting (cells C122 &amp; D122)"/>
  </hyperlinks>
  <printOptions horizontalCentered="1"/>
  <pageMargins left="0.47244094488188981" right="0.47244094488188981" top="0.55118110236220474" bottom="0.62992125984251968" header="0.35433070866141736" footer="0.51181102362204722"/>
  <pageSetup paperSize="9" scale="32" orientation="landscape" r:id="rId6"/>
  <headerFooter alignWithMargins="0"/>
  <rowBreaks count="1" manualBreakCount="1">
    <brk id="93" max="16383" man="1"/>
  </rowBreaks>
  <ignoredErrors>
    <ignoredError sqref="AC79" formulaRange="1"/>
    <ignoredError sqref="O62:T62 O63" unlockedFormula="1"/>
  </ignoredErrors>
  <drawing r:id="rId7"/>
</worksheet>
</file>

<file path=xl/worksheets/sheet6.xml><?xml version="1.0" encoding="utf-8"?>
<worksheet xmlns="http://schemas.openxmlformats.org/spreadsheetml/2006/main" xmlns:r="http://schemas.openxmlformats.org/officeDocument/2006/relationships">
  <sheetPr>
    <tabColor theme="9" tint="-0.499984740745262"/>
  </sheetPr>
  <dimension ref="A1:BA266"/>
  <sheetViews>
    <sheetView zoomScale="75" zoomScaleNormal="75" zoomScaleSheetLayoutView="75" zoomScalePageLayoutView="75" workbookViewId="0">
      <selection activeCell="B135" sqref="B135:H138"/>
    </sheetView>
  </sheetViews>
  <sheetFormatPr defaultColWidth="9.140625" defaultRowHeight="15"/>
  <cols>
    <col min="1" max="1" width="5.140625" style="619" customWidth="1"/>
    <col min="2" max="2" width="44.7109375" style="619" customWidth="1"/>
    <col min="3" max="3" width="18.42578125" style="619" customWidth="1"/>
    <col min="4" max="6" width="14.85546875" style="619" customWidth="1"/>
    <col min="7" max="7" width="23.140625" style="619" customWidth="1"/>
    <col min="8" max="8" width="13" style="619" customWidth="1"/>
    <col min="9" max="26" width="11.140625" style="619" customWidth="1"/>
    <col min="27" max="27" width="16.140625" style="619" customWidth="1"/>
    <col min="28" max="28" width="1.85546875" style="619" customWidth="1"/>
    <col min="29" max="52" width="8.85546875" style="619" hidden="1" customWidth="1"/>
    <col min="53" max="53" width="5.7109375" style="619" customWidth="1"/>
    <col min="54" max="16384" width="9.140625" style="619"/>
  </cols>
  <sheetData>
    <row r="1" spans="1:53" ht="30">
      <c r="A1" s="4982" t="s">
        <v>1918</v>
      </c>
      <c r="B1" s="4982"/>
      <c r="C1" s="615"/>
      <c r="D1" s="615"/>
      <c r="E1" s="615"/>
      <c r="F1" s="626"/>
      <c r="G1" s="616"/>
      <c r="I1" s="4976" t="s">
        <v>1899</v>
      </c>
      <c r="J1" s="4976"/>
      <c r="K1" s="4976"/>
      <c r="L1" s="4976"/>
      <c r="M1" s="4976"/>
      <c r="N1" s="4976"/>
      <c r="O1" s="616"/>
      <c r="P1" s="616"/>
      <c r="Q1" s="616"/>
      <c r="R1" s="616"/>
      <c r="S1" s="616"/>
      <c r="T1" s="617"/>
      <c r="U1" s="618"/>
      <c r="V1" s="3537"/>
      <c r="W1" s="3537"/>
      <c r="X1" s="3537"/>
      <c r="Y1" s="3537"/>
      <c r="Z1" s="4966" t="s">
        <v>1917</v>
      </c>
      <c r="AA1" s="4966"/>
      <c r="AB1" s="4966"/>
      <c r="AC1" s="4967" t="s">
        <v>64</v>
      </c>
      <c r="AD1" s="4967"/>
      <c r="AE1" s="4967"/>
      <c r="AF1" s="4967"/>
      <c r="AG1" s="4967"/>
      <c r="AH1" s="4967"/>
      <c r="AI1" s="4967"/>
      <c r="AJ1" s="4967"/>
      <c r="AK1" s="4967"/>
      <c r="AL1" s="4967"/>
      <c r="AM1" s="4967"/>
      <c r="AN1" s="4967"/>
      <c r="AO1" s="4967"/>
      <c r="AP1" s="4967"/>
      <c r="AQ1" s="4967"/>
      <c r="AR1" s="4967"/>
      <c r="AS1" s="4967"/>
      <c r="AT1" s="4967"/>
      <c r="AU1" s="4967"/>
      <c r="AV1" s="4967"/>
      <c r="AW1" s="4967"/>
      <c r="AX1" s="4967"/>
      <c r="AY1" s="4967"/>
      <c r="AZ1" s="4967"/>
      <c r="BA1" s="453"/>
    </row>
    <row r="2" spans="1:53" ht="12" customHeight="1">
      <c r="A2" s="620"/>
      <c r="B2" s="615"/>
      <c r="C2" s="621"/>
      <c r="D2" s="622"/>
      <c r="E2" s="622"/>
      <c r="F2" s="623"/>
      <c r="G2" s="623"/>
      <c r="H2" s="623"/>
      <c r="I2" s="623"/>
      <c r="J2" s="623"/>
      <c r="K2" s="623"/>
      <c r="L2" s="623"/>
      <c r="M2" s="626"/>
      <c r="N2" s="623"/>
      <c r="O2" s="623"/>
      <c r="P2" s="623"/>
      <c r="Q2" s="623"/>
      <c r="R2" s="623"/>
      <c r="S2" s="623"/>
      <c r="T2" s="624"/>
      <c r="U2" s="3540"/>
      <c r="V2" s="3537"/>
      <c r="W2" s="871"/>
      <c r="X2" s="871"/>
      <c r="Y2" s="4676" t="s">
        <v>1</v>
      </c>
      <c r="Z2" s="4676"/>
      <c r="AA2" s="4676"/>
      <c r="AB2" s="4676"/>
      <c r="AC2" s="625"/>
      <c r="AD2" s="625"/>
      <c r="AE2" s="625"/>
      <c r="AF2" s="625"/>
      <c r="AG2" s="625"/>
      <c r="AH2" s="625"/>
      <c r="AI2" s="625"/>
      <c r="AJ2" s="625"/>
      <c r="AK2" s="625"/>
      <c r="AL2" s="625"/>
      <c r="AM2" s="625"/>
      <c r="AN2" s="625"/>
      <c r="AO2" s="625"/>
      <c r="AP2" s="625"/>
      <c r="AQ2" s="625"/>
      <c r="AR2" s="625"/>
      <c r="AS2" s="625"/>
      <c r="AT2" s="625"/>
      <c r="AU2" s="625"/>
      <c r="AV2" s="625"/>
      <c r="AW2" s="625"/>
      <c r="AX2" s="625"/>
      <c r="AY2" s="626"/>
      <c r="AZ2" s="626"/>
      <c r="BA2" s="453"/>
    </row>
    <row r="3" spans="1:53" ht="15.75" customHeight="1">
      <c r="A3" s="4968" t="s">
        <v>651</v>
      </c>
      <c r="B3" s="4968"/>
      <c r="C3" s="544"/>
      <c r="D3" s="544"/>
      <c r="E3" s="544"/>
      <c r="F3" s="544"/>
      <c r="G3" s="544"/>
      <c r="H3" s="4969" t="s">
        <v>1801</v>
      </c>
      <c r="I3" s="4969"/>
      <c r="J3" s="4969"/>
      <c r="K3" s="4969"/>
      <c r="L3" s="4969"/>
      <c r="M3" s="4969"/>
      <c r="N3" s="4969"/>
      <c r="O3" s="544"/>
      <c r="P3" s="544"/>
      <c r="Q3" s="544"/>
      <c r="R3" s="544"/>
      <c r="S3" s="544"/>
      <c r="T3" s="544"/>
      <c r="U3" s="544"/>
      <c r="V3" s="3537"/>
      <c r="W3" s="872"/>
      <c r="X3" s="872"/>
      <c r="Y3" s="4970" t="s">
        <v>307</v>
      </c>
      <c r="Z3" s="4970"/>
      <c r="AA3" s="4970"/>
      <c r="AB3" s="4970"/>
      <c r="AC3" s="625"/>
      <c r="AD3" s="625"/>
      <c r="AE3" s="625"/>
      <c r="AF3" s="625"/>
      <c r="AG3" s="625"/>
      <c r="AH3" s="625"/>
      <c r="AI3" s="625"/>
      <c r="AJ3" s="625"/>
      <c r="AK3" s="625"/>
      <c r="AL3" s="625"/>
      <c r="AM3" s="625"/>
      <c r="AN3" s="625"/>
      <c r="AO3" s="625"/>
      <c r="AP3" s="625"/>
      <c r="AQ3" s="625"/>
      <c r="AR3" s="625"/>
      <c r="AS3" s="625"/>
      <c r="AT3" s="625"/>
      <c r="AU3" s="625"/>
      <c r="AV3" s="625"/>
      <c r="AW3" s="625"/>
      <c r="AX3" s="625"/>
      <c r="AY3" s="626"/>
      <c r="AZ3" s="626"/>
      <c r="BA3" s="555"/>
    </row>
    <row r="4" spans="1:53" ht="15.75" customHeight="1">
      <c r="A4" s="544"/>
      <c r="B4" s="4971" t="s">
        <v>652</v>
      </c>
      <c r="C4" s="4971"/>
      <c r="D4" s="4971"/>
      <c r="E4" s="4971"/>
      <c r="F4" s="2522"/>
      <c r="G4" s="2522"/>
      <c r="H4" s="2522"/>
      <c r="I4" s="2522"/>
      <c r="J4" s="2522"/>
      <c r="K4" s="2522"/>
      <c r="L4" s="2522"/>
      <c r="M4" s="2522"/>
      <c r="N4" s="626"/>
      <c r="O4" s="627"/>
      <c r="P4" s="4972" t="s">
        <v>7</v>
      </c>
      <c r="Q4" s="4973"/>
      <c r="R4" s="4973"/>
      <c r="S4" s="4973"/>
      <c r="T4" s="4973"/>
      <c r="U4" s="858"/>
      <c r="V4" s="4974" t="s">
        <v>69</v>
      </c>
      <c r="W4" s="4974"/>
      <c r="X4" s="4974"/>
      <c r="Y4" s="555"/>
      <c r="Z4" s="555"/>
      <c r="AA4" s="555"/>
      <c r="AB4" s="555"/>
      <c r="AC4" s="625"/>
      <c r="AD4" s="625"/>
      <c r="AE4" s="625"/>
      <c r="AF4" s="625"/>
      <c r="AG4" s="625"/>
      <c r="AH4" s="625"/>
      <c r="AI4" s="625"/>
      <c r="AJ4" s="625"/>
      <c r="AK4" s="625"/>
      <c r="AL4" s="625"/>
      <c r="AM4" s="625"/>
      <c r="AN4" s="625"/>
      <c r="AO4" s="625"/>
      <c r="AP4" s="625"/>
      <c r="AQ4" s="625"/>
      <c r="AR4" s="625"/>
      <c r="AS4" s="625"/>
      <c r="AT4" s="625"/>
      <c r="AU4" s="625"/>
      <c r="AV4" s="625"/>
      <c r="AW4" s="625"/>
      <c r="AX4" s="625"/>
      <c r="AY4" s="626"/>
      <c r="AZ4" s="626"/>
      <c r="BA4" s="555"/>
    </row>
    <row r="5" spans="1:53" ht="15.75" customHeight="1">
      <c r="A5" s="626"/>
      <c r="B5" s="4975" t="s">
        <v>1869</v>
      </c>
      <c r="C5" s="4975"/>
      <c r="D5" s="4975"/>
      <c r="E5" s="4975"/>
      <c r="F5" s="4975"/>
      <c r="G5" s="4975"/>
      <c r="H5" s="4975"/>
      <c r="I5" s="4975"/>
      <c r="J5" s="629"/>
      <c r="K5" s="629"/>
      <c r="L5" s="629"/>
      <c r="M5" s="629"/>
      <c r="N5" s="2488"/>
      <c r="O5" s="628"/>
      <c r="P5" s="4972"/>
      <c r="Q5" s="4973"/>
      <c r="R5" s="4973"/>
      <c r="S5" s="4973"/>
      <c r="T5" s="4973"/>
      <c r="U5" s="858"/>
      <c r="V5" s="2861" t="s">
        <v>79</v>
      </c>
      <c r="W5" s="1668" t="s">
        <v>339</v>
      </c>
      <c r="X5" s="897" t="s">
        <v>340</v>
      </c>
      <c r="Y5" s="555"/>
      <c r="Z5" s="555"/>
      <c r="AA5" s="555"/>
      <c r="AB5" s="555"/>
      <c r="AC5" s="625"/>
      <c r="AD5" s="625"/>
      <c r="AE5" s="625"/>
      <c r="AF5" s="625"/>
      <c r="AG5" s="625"/>
      <c r="AH5" s="625"/>
      <c r="AI5" s="625"/>
      <c r="AJ5" s="625"/>
      <c r="AK5" s="625"/>
      <c r="AL5" s="625"/>
      <c r="AM5" s="625"/>
      <c r="AN5" s="625"/>
      <c r="AO5" s="625"/>
      <c r="AP5" s="625"/>
      <c r="AQ5" s="625"/>
      <c r="AR5" s="625"/>
      <c r="AS5" s="625"/>
      <c r="AT5" s="625"/>
      <c r="AU5" s="625"/>
      <c r="AV5" s="625"/>
      <c r="AW5" s="625"/>
      <c r="AX5" s="625"/>
      <c r="AY5" s="626"/>
      <c r="AZ5" s="626"/>
      <c r="BA5" s="555"/>
    </row>
    <row r="6" spans="1:53" ht="15.75" customHeight="1">
      <c r="A6" s="344"/>
      <c r="B6" s="344" t="s">
        <v>653</v>
      </c>
      <c r="C6" s="629"/>
      <c r="D6" s="629"/>
      <c r="E6" s="629"/>
      <c r="F6" s="629"/>
      <c r="G6" s="630"/>
      <c r="H6" s="630"/>
      <c r="I6" s="555"/>
      <c r="J6" s="555"/>
      <c r="K6" s="555"/>
      <c r="L6" s="555"/>
      <c r="M6" s="555"/>
      <c r="N6" s="631"/>
      <c r="O6" s="631"/>
      <c r="P6" s="631"/>
      <c r="Q6" s="631"/>
      <c r="R6" s="631"/>
      <c r="S6" s="631"/>
      <c r="T6" s="632"/>
      <c r="U6" s="633"/>
      <c r="V6" s="2703">
        <v>1</v>
      </c>
      <c r="W6" s="666">
        <f t="shared" ref="W6:W15" si="0">X6*(5/6)</f>
        <v>1.7611524981948188</v>
      </c>
      <c r="X6" s="897">
        <f t="shared" ref="X6:X15" si="1">8*V6/3.7854</f>
        <v>2.1133829978337824</v>
      </c>
      <c r="Y6" s="555"/>
      <c r="Z6" s="555"/>
      <c r="AA6" s="555"/>
      <c r="AB6" s="555"/>
      <c r="AC6" s="625"/>
      <c r="AD6" s="625"/>
      <c r="AE6" s="625"/>
      <c r="AF6" s="625"/>
      <c r="AG6" s="625"/>
      <c r="AH6" s="625"/>
      <c r="AI6" s="625"/>
      <c r="AJ6" s="625"/>
      <c r="AK6" s="625"/>
      <c r="AL6" s="625"/>
      <c r="AM6" s="625"/>
      <c r="AN6" s="625"/>
      <c r="AO6" s="625"/>
      <c r="AP6" s="625"/>
      <c r="AQ6" s="625"/>
      <c r="AR6" s="625"/>
      <c r="AS6" s="625"/>
      <c r="AT6" s="625"/>
      <c r="AU6" s="625"/>
      <c r="AV6" s="625"/>
      <c r="AW6" s="625"/>
      <c r="AX6" s="625"/>
      <c r="AY6" s="626"/>
      <c r="AZ6" s="626"/>
      <c r="BA6" s="555"/>
    </row>
    <row r="7" spans="1:53" ht="15.75" customHeight="1">
      <c r="A7" s="344"/>
      <c r="B7" s="344" t="s">
        <v>654</v>
      </c>
      <c r="C7" s="629"/>
      <c r="D7" s="629"/>
      <c r="E7" s="629"/>
      <c r="F7" s="629"/>
      <c r="G7" s="629"/>
      <c r="H7" s="629"/>
      <c r="I7" s="4977" t="s">
        <v>2</v>
      </c>
      <c r="J7" s="4977"/>
      <c r="K7" s="4977"/>
      <c r="L7" s="4977"/>
      <c r="M7" s="637"/>
      <c r="N7" s="637"/>
      <c r="O7" s="637"/>
      <c r="P7" s="630"/>
      <c r="Q7" s="630"/>
      <c r="R7" s="630"/>
      <c r="S7" s="630"/>
      <c r="T7" s="629"/>
      <c r="U7" s="624"/>
      <c r="V7" s="2703">
        <v>2</v>
      </c>
      <c r="W7" s="666">
        <f t="shared" si="0"/>
        <v>3.5223049963896376</v>
      </c>
      <c r="X7" s="897">
        <f t="shared" si="1"/>
        <v>4.2267659956675647</v>
      </c>
      <c r="Y7" s="555"/>
      <c r="Z7" s="555"/>
      <c r="AA7" s="555"/>
      <c r="AB7" s="555"/>
      <c r="AC7" s="625"/>
      <c r="AD7" s="625"/>
      <c r="AE7" s="625"/>
      <c r="AF7" s="625"/>
      <c r="AG7" s="625"/>
      <c r="AH7" s="625"/>
      <c r="AI7" s="625"/>
      <c r="AJ7" s="625"/>
      <c r="AK7" s="625"/>
      <c r="AL7" s="625"/>
      <c r="AM7" s="625"/>
      <c r="AN7" s="625"/>
      <c r="AO7" s="625"/>
      <c r="AP7" s="625"/>
      <c r="AQ7" s="625"/>
      <c r="AR7" s="625"/>
      <c r="AS7" s="625"/>
      <c r="AT7" s="625"/>
      <c r="AU7" s="625"/>
      <c r="AV7" s="625"/>
      <c r="AW7" s="625"/>
      <c r="AX7" s="625"/>
      <c r="AY7" s="626"/>
      <c r="AZ7" s="626"/>
      <c r="BA7" s="555"/>
    </row>
    <row r="8" spans="1:53" ht="15.75" customHeight="1">
      <c r="A8" s="344"/>
      <c r="B8" s="344"/>
      <c r="C8" s="629"/>
      <c r="D8" s="629"/>
      <c r="E8" s="629"/>
      <c r="F8" s="629"/>
      <c r="G8" s="629"/>
      <c r="H8" s="629"/>
      <c r="I8" s="4978" t="s">
        <v>8</v>
      </c>
      <c r="J8" s="4978"/>
      <c r="K8" s="4979"/>
      <c r="L8" s="2426">
        <v>75</v>
      </c>
      <c r="M8" s="4980" t="s">
        <v>657</v>
      </c>
      <c r="N8" s="4981"/>
      <c r="O8" s="4981"/>
      <c r="P8" s="4981"/>
      <c r="Q8" s="4981"/>
      <c r="R8" s="4981"/>
      <c r="S8" s="4981"/>
      <c r="T8" s="629"/>
      <c r="U8" s="624"/>
      <c r="V8" s="2703">
        <v>3</v>
      </c>
      <c r="W8" s="666">
        <f t="shared" si="0"/>
        <v>5.2834574945844563</v>
      </c>
      <c r="X8" s="897">
        <f t="shared" si="1"/>
        <v>6.3401489935013471</v>
      </c>
      <c r="Y8" s="555"/>
      <c r="Z8" s="555"/>
      <c r="AA8" s="555"/>
      <c r="AB8" s="555"/>
      <c r="AC8" s="625"/>
      <c r="AD8" s="625"/>
      <c r="AE8" s="625"/>
      <c r="AF8" s="625"/>
      <c r="AG8" s="625"/>
      <c r="AH8" s="625"/>
      <c r="AI8" s="625"/>
      <c r="AJ8" s="625"/>
      <c r="AK8" s="625"/>
      <c r="AL8" s="625"/>
      <c r="AM8" s="625"/>
      <c r="AN8" s="625"/>
      <c r="AO8" s="625"/>
      <c r="AP8" s="625"/>
      <c r="AQ8" s="625"/>
      <c r="AR8" s="625"/>
      <c r="AS8" s="625"/>
      <c r="AT8" s="625"/>
      <c r="AU8" s="625"/>
      <c r="AV8" s="625"/>
      <c r="AW8" s="625"/>
      <c r="AX8" s="625"/>
      <c r="AY8" s="626"/>
      <c r="AZ8" s="626"/>
      <c r="BA8" s="555"/>
    </row>
    <row r="9" spans="1:53" ht="15.75" customHeight="1">
      <c r="A9" s="617"/>
      <c r="B9" s="634" t="s">
        <v>655</v>
      </c>
      <c r="C9" s="635" t="s">
        <v>322</v>
      </c>
      <c r="D9" s="2199">
        <v>1000</v>
      </c>
      <c r="E9" s="4983" t="str">
        <f>"g = "&amp;1*FIXED(('Beer Data Sheet'!$Z$42/'Beer Data Sheet'!$Z$48)*($L$8/100)*D9,0)&amp;"g LIQUID Extract ɸ"</f>
        <v>g = 726g LIQUID Extract ɸ</v>
      </c>
      <c r="F9" s="4984"/>
      <c r="G9" s="636" t="str">
        <f>"= "&amp;1*FIXED(D9*'Beer Data Sheet'!$Z$42*($L$8/100)/'Beer Data Sheet'!$Z$49,0)&amp;"g DRY Extract ɸ"</f>
        <v>= 616g DRY Extract ɸ</v>
      </c>
      <c r="H9" s="629"/>
      <c r="I9" s="4985" t="s">
        <v>5</v>
      </c>
      <c r="J9" s="4985"/>
      <c r="K9" s="4986"/>
      <c r="L9" s="3381">
        <v>20</v>
      </c>
      <c r="M9" s="4987" t="s">
        <v>659</v>
      </c>
      <c r="N9" s="4436"/>
      <c r="O9" s="3535"/>
      <c r="P9" s="656"/>
      <c r="Q9" s="3514"/>
      <c r="R9" s="3514"/>
      <c r="S9" s="3514"/>
      <c r="T9" s="624"/>
      <c r="U9" s="622"/>
      <c r="V9" s="2703">
        <v>4</v>
      </c>
      <c r="W9" s="666">
        <f t="shared" si="0"/>
        <v>7.0446099927792751</v>
      </c>
      <c r="X9" s="897">
        <f t="shared" si="1"/>
        <v>8.4535319913351294</v>
      </c>
      <c r="Y9" s="555"/>
      <c r="Z9" s="555"/>
      <c r="AA9" s="555"/>
      <c r="AB9" s="555"/>
      <c r="AC9" s="625"/>
      <c r="AD9" s="625"/>
      <c r="AE9" s="625"/>
      <c r="AF9" s="625"/>
      <c r="AG9" s="625"/>
      <c r="AH9" s="625"/>
      <c r="AI9" s="625"/>
      <c r="AJ9" s="625"/>
      <c r="AK9" s="625"/>
      <c r="AL9" s="625"/>
      <c r="AM9" s="625"/>
      <c r="AN9" s="625"/>
      <c r="AO9" s="625"/>
      <c r="AP9" s="625"/>
      <c r="AQ9" s="625"/>
      <c r="AR9" s="625"/>
      <c r="AS9" s="625"/>
      <c r="AT9" s="626"/>
      <c r="AU9" s="626"/>
      <c r="AV9" s="626"/>
      <c r="AW9" s="626"/>
      <c r="AX9" s="626"/>
      <c r="AY9" s="626"/>
      <c r="AZ9" s="626"/>
      <c r="BA9" s="555"/>
    </row>
    <row r="10" spans="1:53" ht="15.75" customHeight="1">
      <c r="A10" s="617"/>
      <c r="B10" s="617"/>
      <c r="C10" s="635" t="s">
        <v>656</v>
      </c>
      <c r="D10" s="2199">
        <v>1000</v>
      </c>
      <c r="E10" s="4988" t="str">
        <f>"g = "&amp;1*FIXED(('Beer Data Sheet'!$Z$48/'Beer Data Sheet'!$Z$49)*D10,0)&amp;"g DRY Extract"</f>
        <v>g = 849g DRY Extract</v>
      </c>
      <c r="F10" s="4989"/>
      <c r="G10" s="636" t="str">
        <f>"= "&amp;1*FIXED(D10*'Beer Data Sheet'!$Z$48/('Beer Data Sheet'!$Z$42*($L$8/100)),0)&amp;"g Pale MALT ɸ"</f>
        <v>= 1378g Pale MALT ɸ</v>
      </c>
      <c r="H10" s="629"/>
      <c r="I10" s="629"/>
      <c r="J10" s="629"/>
      <c r="K10" s="629"/>
      <c r="L10" s="629"/>
      <c r="M10" s="629"/>
      <c r="N10" s="629"/>
      <c r="O10" s="629"/>
      <c r="P10" s="629"/>
      <c r="Q10" s="629"/>
      <c r="R10" s="629"/>
      <c r="S10" s="629"/>
      <c r="T10" s="856"/>
      <c r="U10" s="856"/>
      <c r="V10" s="2703">
        <v>5</v>
      </c>
      <c r="W10" s="666">
        <f t="shared" si="0"/>
        <v>8.8057624909740948</v>
      </c>
      <c r="X10" s="897">
        <f t="shared" si="1"/>
        <v>10.566914989168913</v>
      </c>
      <c r="Y10" s="555"/>
      <c r="Z10" s="555"/>
      <c r="AA10" s="555"/>
      <c r="AB10" s="555"/>
      <c r="AC10" s="625"/>
      <c r="AD10" s="625"/>
      <c r="AE10" s="625"/>
      <c r="AF10" s="625"/>
      <c r="AG10" s="625"/>
      <c r="AH10" s="625"/>
      <c r="AI10" s="625"/>
      <c r="AJ10" s="625"/>
      <c r="AK10" s="625"/>
      <c r="AL10" s="625"/>
      <c r="AM10" s="625"/>
      <c r="AN10" s="625"/>
      <c r="AO10" s="625"/>
      <c r="AP10" s="625"/>
      <c r="AQ10" s="625"/>
      <c r="AR10" s="625"/>
      <c r="AS10" s="625"/>
      <c r="AT10" s="625"/>
      <c r="AU10" s="625"/>
      <c r="AV10" s="625"/>
      <c r="AW10" s="625"/>
      <c r="AX10" s="625"/>
      <c r="AY10" s="626"/>
      <c r="AZ10" s="626"/>
      <c r="BA10" s="555"/>
    </row>
    <row r="11" spans="1:53" ht="15.75" customHeight="1">
      <c r="A11" s="626"/>
      <c r="B11" s="617"/>
      <c r="C11" s="635" t="s">
        <v>658</v>
      </c>
      <c r="D11" s="2199">
        <v>1000</v>
      </c>
      <c r="E11" s="4990" t="str">
        <f>"g = "&amp;1*FIXED(('Beer Data Sheet'!$Z$49/'Beer Data Sheet'!$Z$48)*D11,0)&amp;"g LIQUID Extract"</f>
        <v>g = 1177g LIQUID Extract</v>
      </c>
      <c r="F11" s="4991"/>
      <c r="G11" s="636" t="str">
        <f>"= "&amp;1*FIXED(D11*'Beer Data Sheet'!$Z$49/('Beer Data Sheet'!$Z$42*($L$8/100)),0)&amp;"g Pale MALT ɸ"</f>
        <v>= 1622g Pale MALT ɸ</v>
      </c>
      <c r="H11" s="629"/>
      <c r="I11" s="2606" t="s">
        <v>650</v>
      </c>
      <c r="J11" s="2606"/>
      <c r="K11" s="2606"/>
      <c r="L11" s="611"/>
      <c r="M11" s="611"/>
      <c r="N11" s="611"/>
      <c r="O11" s="611"/>
      <c r="P11" s="4992" t="s">
        <v>746</v>
      </c>
      <c r="Q11" s="4992"/>
      <c r="R11" s="4992"/>
      <c r="S11" s="4992"/>
      <c r="T11" s="4992"/>
      <c r="U11" s="3515"/>
      <c r="V11" s="2703">
        <v>6</v>
      </c>
      <c r="W11" s="666">
        <f t="shared" si="0"/>
        <v>10.566914989168913</v>
      </c>
      <c r="X11" s="897">
        <f t="shared" si="1"/>
        <v>12.680297987002694</v>
      </c>
      <c r="Y11" s="555"/>
      <c r="Z11" s="555"/>
      <c r="AA11" s="555"/>
      <c r="AB11" s="555"/>
      <c r="AC11" s="625"/>
      <c r="AD11" s="625"/>
      <c r="AE11" s="625"/>
      <c r="AF11" s="625"/>
      <c r="AG11" s="625"/>
      <c r="AH11" s="625"/>
      <c r="AI11" s="625"/>
      <c r="AJ11" s="625"/>
      <c r="AK11" s="625"/>
      <c r="AL11" s="625"/>
      <c r="AM11" s="625"/>
      <c r="AN11" s="625"/>
      <c r="AO11" s="625"/>
      <c r="AP11" s="625"/>
      <c r="AQ11" s="625"/>
      <c r="AR11" s="625"/>
      <c r="AS11" s="625"/>
      <c r="AT11" s="626"/>
      <c r="AU11" s="626"/>
      <c r="AV11" s="626"/>
      <c r="AW11" s="626"/>
      <c r="AX11" s="626"/>
      <c r="AY11" s="626"/>
      <c r="AZ11" s="626"/>
      <c r="BA11" s="555"/>
    </row>
    <row r="12" spans="1:53" ht="15.75" customHeight="1">
      <c r="A12" s="617"/>
      <c r="B12" s="617"/>
      <c r="C12" s="617"/>
      <c r="D12" s="4038" t="s">
        <v>1805</v>
      </c>
      <c r="E12" s="4038"/>
      <c r="F12" s="4038"/>
      <c r="G12" s="4038"/>
      <c r="H12" s="629"/>
      <c r="I12" s="888">
        <v>1</v>
      </c>
      <c r="J12" s="4993" t="s">
        <v>228</v>
      </c>
      <c r="K12" s="4994"/>
      <c r="L12" s="556">
        <v>23</v>
      </c>
      <c r="M12" s="4995" t="s">
        <v>749</v>
      </c>
      <c r="N12" s="4995"/>
      <c r="O12" s="1894" t="str">
        <f>FIXED((I12*'Beer Data Sheet'!$T$16/L12),1)&amp;" EBU"</f>
        <v>3.0 EBU</v>
      </c>
      <c r="P12" s="4992"/>
      <c r="Q12" s="4992"/>
      <c r="R12" s="4992"/>
      <c r="S12" s="4992"/>
      <c r="T12" s="4992"/>
      <c r="U12" s="3515"/>
      <c r="V12" s="2703">
        <v>7</v>
      </c>
      <c r="W12" s="666">
        <f t="shared" si="0"/>
        <v>12.328067487363732</v>
      </c>
      <c r="X12" s="897">
        <f t="shared" si="1"/>
        <v>14.793680984836477</v>
      </c>
      <c r="Y12" s="555"/>
      <c r="Z12" s="555"/>
      <c r="AA12" s="555"/>
      <c r="AB12" s="555"/>
      <c r="AC12" s="625"/>
      <c r="AD12" s="625"/>
      <c r="AE12" s="625"/>
      <c r="AF12" s="625"/>
      <c r="AG12" s="625"/>
      <c r="AH12" s="625"/>
      <c r="AI12" s="625"/>
      <c r="AJ12" s="625"/>
      <c r="AK12" s="625"/>
      <c r="AL12" s="625"/>
      <c r="AM12" s="625"/>
      <c r="AN12" s="625"/>
      <c r="AO12" s="625"/>
      <c r="AP12" s="625"/>
      <c r="AQ12" s="625"/>
      <c r="AR12" s="625"/>
      <c r="AS12" s="625"/>
      <c r="AT12" s="626"/>
      <c r="AU12" s="626"/>
      <c r="AV12" s="626"/>
      <c r="AW12" s="626"/>
      <c r="AX12" s="626"/>
      <c r="AY12" s="626"/>
      <c r="AZ12" s="626"/>
      <c r="BA12" s="555"/>
    </row>
    <row r="13" spans="1:53" ht="15.75" customHeight="1">
      <c r="A13" s="617"/>
      <c r="B13" s="617"/>
      <c r="C13" s="617"/>
      <c r="D13" s="638"/>
      <c r="E13" s="639"/>
      <c r="F13" s="639"/>
      <c r="G13" s="639"/>
      <c r="H13" s="630"/>
      <c r="I13" s="656"/>
      <c r="J13" s="656"/>
      <c r="K13" s="656"/>
      <c r="L13" s="656"/>
      <c r="M13" s="656"/>
      <c r="N13" s="656"/>
      <c r="O13" s="656"/>
      <c r="P13" s="656"/>
      <c r="Q13" s="656"/>
      <c r="R13" s="656"/>
      <c r="S13" s="656"/>
      <c r="T13" s="2631"/>
      <c r="U13" s="617"/>
      <c r="V13" s="2703">
        <v>8</v>
      </c>
      <c r="W13" s="666">
        <f t="shared" si="0"/>
        <v>14.08921998555855</v>
      </c>
      <c r="X13" s="897">
        <f t="shared" si="1"/>
        <v>16.907063982670259</v>
      </c>
      <c r="Y13" s="555"/>
      <c r="Z13" s="555"/>
      <c r="AA13" s="555"/>
      <c r="AB13" s="555"/>
      <c r="AC13" s="625"/>
      <c r="AD13" s="625"/>
      <c r="AE13" s="625"/>
      <c r="AF13" s="625"/>
      <c r="AG13" s="625"/>
      <c r="AH13" s="625"/>
      <c r="AI13" s="625"/>
      <c r="AJ13" s="625"/>
      <c r="AK13" s="625"/>
      <c r="AL13" s="625"/>
      <c r="AM13" s="625"/>
      <c r="AN13" s="625"/>
      <c r="AO13" s="625"/>
      <c r="AP13" s="625"/>
      <c r="AQ13" s="625"/>
      <c r="AR13" s="625"/>
      <c r="AS13" s="625"/>
      <c r="AT13" s="626"/>
      <c r="AU13" s="626"/>
      <c r="AV13" s="626"/>
      <c r="AW13" s="626"/>
      <c r="AX13" s="626"/>
      <c r="AY13" s="626"/>
      <c r="AZ13" s="626"/>
      <c r="BA13" s="555"/>
    </row>
    <row r="14" spans="1:53" ht="15.75" customHeight="1">
      <c r="A14" s="617"/>
      <c r="B14" s="662" t="s">
        <v>762</v>
      </c>
      <c r="C14" s="5015" t="s">
        <v>1750</v>
      </c>
      <c r="D14" s="5016"/>
      <c r="E14" s="5016"/>
      <c r="F14" s="5017"/>
      <c r="G14" s="5002" t="s">
        <v>660</v>
      </c>
      <c r="H14" s="5003"/>
      <c r="I14" s="5003"/>
      <c r="J14" s="5003"/>
      <c r="K14" s="5004"/>
      <c r="L14" s="617"/>
      <c r="M14" s="5018" t="s">
        <v>1753</v>
      </c>
      <c r="N14" s="5018"/>
      <c r="O14" s="656"/>
      <c r="P14" s="656"/>
      <c r="Q14" s="656"/>
      <c r="R14" s="656"/>
      <c r="S14" s="656"/>
      <c r="T14" s="2631"/>
      <c r="U14" s="617"/>
      <c r="V14" s="2703">
        <v>9</v>
      </c>
      <c r="W14" s="666">
        <f t="shared" si="0"/>
        <v>15.850372483753368</v>
      </c>
      <c r="X14" s="897">
        <f t="shared" si="1"/>
        <v>19.02044698050404</v>
      </c>
      <c r="Y14" s="555"/>
      <c r="Z14" s="555"/>
      <c r="AA14" s="555"/>
      <c r="AB14" s="555"/>
      <c r="AC14" s="625"/>
      <c r="AD14" s="625"/>
      <c r="AE14" s="625"/>
      <c r="AF14" s="625"/>
      <c r="AG14" s="625"/>
      <c r="AH14" s="625"/>
      <c r="AI14" s="625"/>
      <c r="AJ14" s="625"/>
      <c r="AK14" s="625"/>
      <c r="AL14" s="625"/>
      <c r="AM14" s="625"/>
      <c r="AN14" s="625"/>
      <c r="AO14" s="625"/>
      <c r="AP14" s="625"/>
      <c r="AQ14" s="625"/>
      <c r="AR14" s="625"/>
      <c r="AS14" s="625"/>
      <c r="AT14" s="626"/>
      <c r="AU14" s="626"/>
      <c r="AV14" s="626"/>
      <c r="AW14" s="626"/>
      <c r="AX14" s="626"/>
      <c r="AY14" s="626"/>
      <c r="AZ14" s="626"/>
      <c r="BA14" s="555"/>
    </row>
    <row r="15" spans="1:53" ht="15.75" customHeight="1">
      <c r="A15" s="617"/>
      <c r="B15" s="640" t="s">
        <v>14</v>
      </c>
      <c r="C15" s="2200">
        <f>1000+AJ54</f>
        <v>1037.0790760869565</v>
      </c>
      <c r="D15" s="2201">
        <f>1000+AN54</f>
        <v>1037.0790760869565</v>
      </c>
      <c r="E15" s="2202">
        <f>1000+AR54</f>
        <v>1035.9519021739131</v>
      </c>
      <c r="F15" s="3334">
        <v>38</v>
      </c>
      <c r="G15" s="5005"/>
      <c r="H15" s="5006"/>
      <c r="I15" s="5006"/>
      <c r="J15" s="5006"/>
      <c r="K15" s="5007"/>
      <c r="L15" s="626"/>
      <c r="M15" s="5019" t="s">
        <v>1852</v>
      </c>
      <c r="N15" s="5020"/>
      <c r="O15" s="5020"/>
      <c r="P15" s="5020"/>
      <c r="Q15" s="5020"/>
      <c r="R15" s="5020"/>
      <c r="S15" s="5020"/>
      <c r="T15" s="5021"/>
      <c r="U15" s="617"/>
      <c r="V15" s="2703">
        <v>10</v>
      </c>
      <c r="W15" s="666">
        <f t="shared" si="0"/>
        <v>17.61152498194819</v>
      </c>
      <c r="X15" s="897">
        <f t="shared" si="1"/>
        <v>21.133829978337825</v>
      </c>
      <c r="Y15" s="555"/>
      <c r="Z15" s="555"/>
      <c r="AA15" s="555"/>
      <c r="AB15" s="555"/>
      <c r="AC15" s="625"/>
      <c r="AD15" s="625"/>
      <c r="AE15" s="625"/>
      <c r="AF15" s="625"/>
      <c r="AG15" s="625"/>
      <c r="AH15" s="625"/>
      <c r="AI15" s="625"/>
      <c r="AJ15" s="625"/>
      <c r="AK15" s="625"/>
      <c r="AL15" s="625"/>
      <c r="AM15" s="625"/>
      <c r="AN15" s="625"/>
      <c r="AO15" s="625"/>
      <c r="AP15" s="625"/>
      <c r="AQ15" s="625"/>
      <c r="AR15" s="625"/>
      <c r="AS15" s="625"/>
      <c r="AT15" s="874"/>
      <c r="AU15" s="874"/>
      <c r="AV15" s="642"/>
      <c r="AW15" s="626"/>
      <c r="AX15" s="626"/>
      <c r="AY15" s="626"/>
      <c r="AZ15" s="626"/>
      <c r="BA15" s="555"/>
    </row>
    <row r="16" spans="1:53" ht="15.75" customHeight="1">
      <c r="A16" s="617"/>
      <c r="B16" s="644" t="s">
        <v>312</v>
      </c>
      <c r="C16" s="2203">
        <f>1000+AJ57</f>
        <v>1006.6013823369565</v>
      </c>
      <c r="D16" s="2204">
        <f>1000+AN57</f>
        <v>1006.6013823369565</v>
      </c>
      <c r="E16" s="2205">
        <f>1000+AR57</f>
        <v>1006.1854855978261</v>
      </c>
      <c r="F16" s="3334">
        <v>7</v>
      </c>
      <c r="G16" s="5008" t="s">
        <v>1751</v>
      </c>
      <c r="H16" s="5009"/>
      <c r="I16" s="5009"/>
      <c r="J16" s="5009"/>
      <c r="K16" s="5010"/>
      <c r="L16" s="641"/>
      <c r="M16" s="5022"/>
      <c r="N16" s="5023"/>
      <c r="O16" s="5023"/>
      <c r="P16" s="5023"/>
      <c r="Q16" s="5023"/>
      <c r="R16" s="5023"/>
      <c r="S16" s="5023"/>
      <c r="T16" s="5024"/>
      <c r="U16" s="617"/>
      <c r="V16" s="617"/>
      <c r="W16" s="617"/>
      <c r="X16" s="617"/>
      <c r="Y16" s="617"/>
      <c r="Z16" s="617"/>
      <c r="AA16" s="555"/>
      <c r="AB16" s="555"/>
      <c r="AC16" s="645"/>
      <c r="AD16" s="645"/>
      <c r="AE16" s="645"/>
      <c r="AF16" s="645"/>
      <c r="AG16" s="645"/>
      <c r="AH16" s="645"/>
      <c r="AI16" s="874"/>
      <c r="AJ16" s="626"/>
      <c r="AK16" s="626"/>
      <c r="AL16" s="626"/>
      <c r="AM16" s="626"/>
      <c r="AN16" s="626"/>
      <c r="AO16" s="626"/>
      <c r="AP16" s="626"/>
      <c r="AQ16" s="626"/>
      <c r="AR16" s="626"/>
      <c r="AS16" s="626"/>
      <c r="AT16" s="874"/>
      <c r="AU16" s="874"/>
      <c r="AV16" s="642"/>
      <c r="AW16" s="626"/>
      <c r="AX16" s="626"/>
      <c r="AY16" s="626"/>
      <c r="AZ16" s="626"/>
      <c r="BA16" s="555"/>
    </row>
    <row r="17" spans="1:53" ht="15.75" customHeight="1">
      <c r="A17" s="617"/>
      <c r="B17" s="647" t="s">
        <v>313</v>
      </c>
      <c r="C17" s="2206">
        <f>(C15-C16)/(7.75-(3*(C15-1000)/800))</f>
        <v>4.0044514647818668</v>
      </c>
      <c r="D17" s="2207">
        <f>(D15-D16)/(7.75-(3*(D15-1000)/800))</f>
        <v>4.0044514647818668</v>
      </c>
      <c r="E17" s="2208">
        <f>(E15-E16)/(7.75-(3*(E15-1000)/800))</f>
        <v>3.9088262053086957</v>
      </c>
      <c r="F17" s="3782">
        <v>4</v>
      </c>
      <c r="G17" s="5028" t="s">
        <v>1822</v>
      </c>
      <c r="H17" s="5029"/>
      <c r="I17" s="5029"/>
      <c r="J17" s="5029"/>
      <c r="K17" s="5030"/>
      <c r="L17" s="641"/>
      <c r="M17" s="5022"/>
      <c r="N17" s="5023"/>
      <c r="O17" s="5023"/>
      <c r="P17" s="5023"/>
      <c r="Q17" s="5023"/>
      <c r="R17" s="5023"/>
      <c r="S17" s="5023"/>
      <c r="T17" s="5024"/>
      <c r="U17" s="617"/>
      <c r="V17" s="2861" t="s">
        <v>339</v>
      </c>
      <c r="W17" s="1669" t="s">
        <v>340</v>
      </c>
      <c r="X17" s="2861" t="s">
        <v>79</v>
      </c>
      <c r="Y17" s="617"/>
      <c r="Z17" s="617"/>
      <c r="AA17" s="555"/>
      <c r="AB17" s="555"/>
      <c r="AC17" s="645"/>
      <c r="AD17" s="645"/>
      <c r="AE17" s="645"/>
      <c r="AF17" s="645"/>
      <c r="AG17" s="645"/>
      <c r="AH17" s="645"/>
      <c r="AI17" s="874"/>
      <c r="AJ17" s="626"/>
      <c r="AK17" s="626"/>
      <c r="AL17" s="626"/>
      <c r="AM17" s="626"/>
      <c r="AN17" s="626"/>
      <c r="AO17" s="626"/>
      <c r="AP17" s="626"/>
      <c r="AQ17" s="626"/>
      <c r="AR17" s="626"/>
      <c r="AS17" s="626"/>
      <c r="AT17" s="874"/>
      <c r="AU17" s="874"/>
      <c r="AV17" s="642"/>
      <c r="AW17" s="626"/>
      <c r="AX17" s="626"/>
      <c r="AY17" s="626"/>
      <c r="AZ17" s="626"/>
      <c r="BA17" s="555"/>
    </row>
    <row r="18" spans="1:53" ht="15.75" customHeight="1">
      <c r="A18" s="617"/>
      <c r="B18" s="648" t="s">
        <v>662</v>
      </c>
      <c r="C18" s="2209">
        <f>1000+AJ55</f>
        <v>1035.8978260869565</v>
      </c>
      <c r="D18" s="2210">
        <f>1000+AN55</f>
        <v>1035.8978260869565</v>
      </c>
      <c r="E18" s="2211">
        <f>1000+AR55</f>
        <v>1034.770652173913</v>
      </c>
      <c r="F18" s="5031" t="s">
        <v>1795</v>
      </c>
      <c r="G18" s="5033" t="s">
        <v>663</v>
      </c>
      <c r="H18" s="5034"/>
      <c r="I18" s="2953">
        <v>500</v>
      </c>
      <c r="J18" s="2954">
        <v>500</v>
      </c>
      <c r="K18" s="2955">
        <v>500</v>
      </c>
      <c r="L18" s="641"/>
      <c r="M18" s="5022"/>
      <c r="N18" s="5023"/>
      <c r="O18" s="5023"/>
      <c r="P18" s="5023"/>
      <c r="Q18" s="5023"/>
      <c r="R18" s="5023"/>
      <c r="S18" s="5023"/>
      <c r="T18" s="5024"/>
      <c r="U18" s="617"/>
      <c r="V18" s="2703">
        <v>1</v>
      </c>
      <c r="W18" s="646">
        <f>V18*(6/5)</f>
        <v>1.2</v>
      </c>
      <c r="X18" s="869">
        <f>3.7854*W18/8</f>
        <v>0.56781000000000004</v>
      </c>
      <c r="Y18" s="555"/>
      <c r="Z18" s="555"/>
      <c r="AA18" s="555"/>
      <c r="AB18" s="555"/>
      <c r="AC18" s="645"/>
      <c r="AD18" s="645"/>
      <c r="AE18" s="645"/>
      <c r="AF18" s="645"/>
      <c r="AG18" s="645"/>
      <c r="AH18" s="645"/>
      <c r="AI18" s="874"/>
      <c r="AJ18" s="874"/>
      <c r="AK18" s="874"/>
      <c r="AL18" s="874"/>
      <c r="AM18" s="874"/>
      <c r="AN18" s="874"/>
      <c r="AO18" s="642"/>
      <c r="AP18" s="874"/>
      <c r="AQ18" s="874"/>
      <c r="AR18" s="874"/>
      <c r="AS18" s="874"/>
      <c r="AT18" s="874"/>
      <c r="AU18" s="874"/>
      <c r="AV18" s="642"/>
      <c r="AW18" s="626"/>
      <c r="AX18" s="626"/>
      <c r="AY18" s="626"/>
      <c r="AZ18" s="626"/>
      <c r="BA18" s="555"/>
    </row>
    <row r="19" spans="1:53" ht="15.75" customHeight="1">
      <c r="A19" s="617"/>
      <c r="B19" s="648" t="s">
        <v>664</v>
      </c>
      <c r="C19" s="2209">
        <f>1000+AJ56</f>
        <v>1006.6947010869566</v>
      </c>
      <c r="D19" s="2210">
        <f>1000+AN56</f>
        <v>1006.6947010869566</v>
      </c>
      <c r="E19" s="2211">
        <f>1000+AR56</f>
        <v>1006.2788043478261</v>
      </c>
      <c r="F19" s="5032"/>
      <c r="G19" s="5035" t="s">
        <v>32</v>
      </c>
      <c r="H19" s="5036"/>
      <c r="I19" s="2956">
        <f>$AD$52*I18</f>
        <v>110.79704521977311</v>
      </c>
      <c r="J19" s="2957">
        <f>$AL$54*J18</f>
        <v>110.79704521977311</v>
      </c>
      <c r="K19" s="2958">
        <f>$AP$54*K18</f>
        <v>108.15124059679748</v>
      </c>
      <c r="L19" s="650"/>
      <c r="M19" s="5022"/>
      <c r="N19" s="5023"/>
      <c r="O19" s="5023"/>
      <c r="P19" s="5023"/>
      <c r="Q19" s="5023"/>
      <c r="R19" s="5023"/>
      <c r="S19" s="5023"/>
      <c r="T19" s="5024"/>
      <c r="U19" s="617"/>
      <c r="V19" s="2703">
        <v>2</v>
      </c>
      <c r="W19" s="646">
        <f>V19*(6/5)</f>
        <v>2.4</v>
      </c>
      <c r="X19" s="869">
        <f>3.7854*W19/8</f>
        <v>1.1356200000000001</v>
      </c>
      <c r="Y19" s="555"/>
      <c r="Z19" s="555"/>
      <c r="AA19" s="555"/>
      <c r="AB19" s="555"/>
      <c r="AC19" s="645"/>
      <c r="AD19" s="645"/>
      <c r="AE19" s="645"/>
      <c r="AF19" s="645"/>
      <c r="AG19" s="645"/>
      <c r="AH19" s="645"/>
      <c r="AI19" s="874"/>
      <c r="AJ19" s="874"/>
      <c r="AK19" s="874"/>
      <c r="AL19" s="874"/>
      <c r="AM19" s="874"/>
      <c r="AN19" s="874"/>
      <c r="AO19" s="642"/>
      <c r="AP19" s="874"/>
      <c r="AQ19" s="874"/>
      <c r="AR19" s="874"/>
      <c r="AS19" s="874"/>
      <c r="AT19" s="874"/>
      <c r="AU19" s="874"/>
      <c r="AV19" s="642"/>
      <c r="AW19" s="626"/>
      <c r="AX19" s="626"/>
      <c r="AY19" s="626"/>
      <c r="AZ19" s="626"/>
      <c r="BA19" s="555"/>
    </row>
    <row r="20" spans="1:53" ht="15.75" customHeight="1">
      <c r="A20" s="617"/>
      <c r="B20" s="651" t="s">
        <v>112</v>
      </c>
      <c r="C20" s="2755" t="str">
        <f>FIXED((AC49/C23)+I49*'Beer Data Sheet'!R16*'Beer Data Sheet'!T16/('Beer Data Sheet'!O16*C23),1)&amp;" EBU"</f>
        <v>35.1 EBU</v>
      </c>
      <c r="D20" s="2717" t="str">
        <f>FIXED((AD49/D23)+J49*'Beer Data Sheet'!R16*'Beer Data Sheet'!T16/('Beer Data Sheet'!O16*D23),1)&amp;" EBU"</f>
        <v>35.1 EBU</v>
      </c>
      <c r="E20" s="2753" t="str">
        <f>FIXED((AE49/E23)+K49*'Beer Data Sheet'!T16/('Beer Data Sheet'!O16*E23),1)&amp;" EBU"</f>
        <v>35.1 EBU</v>
      </c>
      <c r="F20" s="3335">
        <v>35</v>
      </c>
      <c r="G20" s="4998" t="s">
        <v>315</v>
      </c>
      <c r="H20" s="4999"/>
      <c r="I20" s="2956">
        <f>$AD$53*I18</f>
        <v>58.481356958927101</v>
      </c>
      <c r="J20" s="2957">
        <f>$AL$55*J18</f>
        <v>58.481356958927101</v>
      </c>
      <c r="K20" s="2958">
        <f>$AP$55*K18</f>
        <v>55.718380205512737</v>
      </c>
      <c r="L20" s="650"/>
      <c r="M20" s="5022"/>
      <c r="N20" s="5023"/>
      <c r="O20" s="5023"/>
      <c r="P20" s="5023"/>
      <c r="Q20" s="5023"/>
      <c r="R20" s="5023"/>
      <c r="S20" s="5023"/>
      <c r="T20" s="5024"/>
      <c r="U20" s="617"/>
      <c r="V20" s="2703">
        <v>3</v>
      </c>
      <c r="W20" s="646">
        <f>V20*(6/5)</f>
        <v>3.5999999999999996</v>
      </c>
      <c r="X20" s="869">
        <f>3.7854*W20/8</f>
        <v>1.7034299999999998</v>
      </c>
      <c r="Y20" s="555"/>
      <c r="Z20" s="555"/>
      <c r="AA20" s="555"/>
      <c r="AB20" s="555"/>
      <c r="AC20" s="645"/>
      <c r="AD20" s="645"/>
      <c r="AE20" s="645"/>
      <c r="AF20" s="645"/>
      <c r="AG20" s="645"/>
      <c r="AH20" s="645"/>
      <c r="AI20" s="874"/>
      <c r="AJ20" s="874"/>
      <c r="AK20" s="874"/>
      <c r="AL20" s="874"/>
      <c r="AM20" s="874"/>
      <c r="AN20" s="874"/>
      <c r="AO20" s="642"/>
      <c r="AP20" s="874"/>
      <c r="AQ20" s="874"/>
      <c r="AR20" s="874"/>
      <c r="AS20" s="874"/>
      <c r="AT20" s="874"/>
      <c r="AU20" s="874"/>
      <c r="AV20" s="642"/>
      <c r="AW20" s="626"/>
      <c r="AX20" s="626"/>
      <c r="AY20" s="626"/>
      <c r="AZ20" s="626"/>
      <c r="BA20" s="555"/>
    </row>
    <row r="21" spans="1:53" ht="15.75" customHeight="1">
      <c r="A21" s="617"/>
      <c r="B21" s="652" t="s">
        <v>43</v>
      </c>
      <c r="C21" s="2756" t="str">
        <f>FIXED(SUM(AK26:AK45)/C23,1)&amp;" EBC"</f>
        <v>168.8 EBC</v>
      </c>
      <c r="D21" s="2718" t="str">
        <f>FIXED(SUM(AO26:AO45)/D23,1)&amp;" EBC"</f>
        <v>168.8 EBC</v>
      </c>
      <c r="E21" s="2754" t="str">
        <f>FIXED(SUM(AS26:AS45)/E23,1)&amp;" EBC"</f>
        <v>167.8 EBC</v>
      </c>
      <c r="F21" s="3782">
        <v>170</v>
      </c>
      <c r="G21" s="4996" t="s">
        <v>37</v>
      </c>
      <c r="H21" s="4997"/>
      <c r="I21" s="2235">
        <f>SUM(I19:I20)</f>
        <v>169.27840217870022</v>
      </c>
      <c r="J21" s="2236">
        <f>SUM(J19:J20)</f>
        <v>169.27840217870022</v>
      </c>
      <c r="K21" s="2237">
        <f>SUM(K19:K20)</f>
        <v>163.86962080231021</v>
      </c>
      <c r="L21" s="650"/>
      <c r="M21" s="5022"/>
      <c r="N21" s="5023"/>
      <c r="O21" s="5023"/>
      <c r="P21" s="5023"/>
      <c r="Q21" s="5023"/>
      <c r="R21" s="5023"/>
      <c r="S21" s="5023"/>
      <c r="T21" s="5024"/>
      <c r="U21" s="617"/>
      <c r="V21" s="2703">
        <v>4</v>
      </c>
      <c r="W21" s="646">
        <f>V21*(6/5)</f>
        <v>4.8</v>
      </c>
      <c r="X21" s="869">
        <f>3.7854*W21/8</f>
        <v>2.2712400000000001</v>
      </c>
      <c r="Y21" s="555"/>
      <c r="Z21" s="555"/>
      <c r="AA21" s="555"/>
      <c r="AB21" s="555"/>
      <c r="AC21" s="645"/>
      <c r="AD21" s="645"/>
      <c r="AE21" s="645"/>
      <c r="AF21" s="645"/>
      <c r="AG21" s="645"/>
      <c r="AH21" s="645"/>
      <c r="AI21" s="874"/>
      <c r="AJ21" s="874"/>
      <c r="AK21" s="874"/>
      <c r="AL21" s="874"/>
      <c r="AM21" s="874"/>
      <c r="AN21" s="874"/>
      <c r="AO21" s="642"/>
      <c r="AP21" s="874"/>
      <c r="AQ21" s="874"/>
      <c r="AR21" s="874"/>
      <c r="AS21" s="874"/>
      <c r="AT21" s="874"/>
      <c r="AU21" s="874"/>
      <c r="AV21" s="642"/>
      <c r="AW21" s="626"/>
      <c r="AX21" s="626"/>
      <c r="AY21" s="626"/>
      <c r="AZ21" s="626"/>
      <c r="BA21" s="555"/>
    </row>
    <row r="22" spans="1:53" ht="15.75" customHeight="1">
      <c r="A22" s="617"/>
      <c r="B22" s="654"/>
      <c r="C22" s="2212" t="str">
        <f>"≈ "&amp;FIXED(0.508*SUM(AK26:AK45)/C23,1)&amp;" SRM"</f>
        <v>≈ 85.7 SRM</v>
      </c>
      <c r="D22" s="2213" t="str">
        <f>"≈ "&amp;FIXED(0.508*SUM(AO26:AO45)/D23,1)&amp;" SRM"</f>
        <v>≈ 85.7 SRM</v>
      </c>
      <c r="E22" s="2214" t="str">
        <f>"≈ "&amp;FIXED(0.508*SUM(AS26:AS45)/E23,1)&amp;" SRM"</f>
        <v>≈ 85.2 SRM</v>
      </c>
      <c r="F22" s="3783" t="str">
        <f>"≈ "&amp;FIXED((0.508*F21),1)&amp;" SRM"</f>
        <v>≈ 86.4 SRM</v>
      </c>
      <c r="G22" s="4998" t="s">
        <v>665</v>
      </c>
      <c r="H22" s="4999"/>
      <c r="I22" s="2959">
        <f>I20/3.85</f>
        <v>15.189962846474572</v>
      </c>
      <c r="J22" s="2960">
        <f>J20/3.85</f>
        <v>15.189962846474572</v>
      </c>
      <c r="K22" s="2961">
        <f>K20/3.85</f>
        <v>14.472306546886426</v>
      </c>
      <c r="L22" s="650"/>
      <c r="M22" s="5022"/>
      <c r="N22" s="5023"/>
      <c r="O22" s="5023"/>
      <c r="P22" s="5023"/>
      <c r="Q22" s="5023"/>
      <c r="R22" s="5023"/>
      <c r="S22" s="5023"/>
      <c r="T22" s="5024"/>
      <c r="U22" s="617"/>
      <c r="V22" s="2703">
        <v>5</v>
      </c>
      <c r="W22" s="646">
        <f t="shared" ref="W22:W27" si="2">V22*(6/5)</f>
        <v>6</v>
      </c>
      <c r="X22" s="869">
        <f t="shared" ref="X22:X27" si="3">3.7854*W22/8</f>
        <v>2.8390500000000003</v>
      </c>
      <c r="Y22" s="555"/>
      <c r="Z22" s="555"/>
      <c r="AA22" s="555"/>
      <c r="AB22" s="555"/>
      <c r="AC22" s="645"/>
      <c r="AD22" s="645"/>
      <c r="AE22" s="645"/>
      <c r="AF22" s="645"/>
      <c r="AG22" s="645"/>
      <c r="AH22" s="645"/>
      <c r="AI22" s="874"/>
      <c r="AJ22" s="874"/>
      <c r="AK22" s="874"/>
      <c r="AL22" s="874"/>
      <c r="AM22" s="874"/>
      <c r="AN22" s="874"/>
      <c r="AO22" s="642"/>
      <c r="AP22" s="874"/>
      <c r="AQ22" s="874"/>
      <c r="AR22" s="874"/>
      <c r="AS22" s="874"/>
      <c r="AT22" s="874"/>
      <c r="AU22" s="874"/>
      <c r="AV22" s="642"/>
      <c r="AW22" s="626"/>
      <c r="AX22" s="626"/>
      <c r="AY22" s="626"/>
      <c r="AZ22" s="626"/>
      <c r="BA22" s="555"/>
    </row>
    <row r="23" spans="1:53" ht="15.75" customHeight="1">
      <c r="A23" s="617"/>
      <c r="B23" s="657" t="s">
        <v>4</v>
      </c>
      <c r="C23" s="2732">
        <v>23</v>
      </c>
      <c r="D23" s="2733">
        <f>C23</f>
        <v>23</v>
      </c>
      <c r="E23" s="2734">
        <f>D23</f>
        <v>23</v>
      </c>
      <c r="F23" s="2456" t="s">
        <v>666</v>
      </c>
      <c r="G23" s="4998" t="s">
        <v>47</v>
      </c>
      <c r="H23" s="4999"/>
      <c r="I23" s="2962">
        <f>I24*I18/1000</f>
        <v>2.0022257323909334</v>
      </c>
      <c r="J23" s="2963">
        <f>J24*J18/1000</f>
        <v>2.0022257323909334</v>
      </c>
      <c r="K23" s="2964">
        <f>K24*K18/1000</f>
        <v>1.9544131026543479</v>
      </c>
      <c r="L23" s="650"/>
      <c r="M23" s="5022"/>
      <c r="N23" s="5023"/>
      <c r="O23" s="5023"/>
      <c r="P23" s="5023"/>
      <c r="Q23" s="5023"/>
      <c r="R23" s="5023"/>
      <c r="S23" s="5023"/>
      <c r="T23" s="5024"/>
      <c r="U23" s="617"/>
      <c r="V23" s="2703">
        <v>6</v>
      </c>
      <c r="W23" s="646">
        <f t="shared" si="2"/>
        <v>7.1999999999999993</v>
      </c>
      <c r="X23" s="869">
        <f t="shared" si="3"/>
        <v>3.4068599999999996</v>
      </c>
      <c r="Y23" s="555"/>
      <c r="Z23" s="555"/>
      <c r="AA23" s="555"/>
      <c r="AB23" s="555"/>
      <c r="AC23" s="717"/>
      <c r="AD23" s="717"/>
      <c r="AE23" s="717"/>
      <c r="AF23" s="697"/>
      <c r="AG23" s="697"/>
      <c r="AH23" s="697"/>
      <c r="AI23" s="692"/>
      <c r="AJ23" s="692"/>
      <c r="AK23" s="692"/>
      <c r="AL23" s="697"/>
      <c r="AM23" s="697"/>
      <c r="AN23" s="697"/>
      <c r="AO23" s="2589"/>
      <c r="AP23" s="697"/>
      <c r="AQ23" s="697"/>
      <c r="AR23" s="697"/>
      <c r="AS23" s="697"/>
      <c r="AT23" s="697"/>
      <c r="AU23" s="697"/>
      <c r="AV23" s="2589"/>
      <c r="AW23" s="626"/>
      <c r="AX23" s="626"/>
      <c r="AY23" s="626"/>
      <c r="AZ23" s="626"/>
      <c r="BA23" s="555"/>
    </row>
    <row r="24" spans="1:53" ht="15.75" customHeight="1">
      <c r="A24" s="617"/>
      <c r="B24" s="660"/>
      <c r="C24" s="2215" t="str">
        <f>"≈ "&amp;FIXED(C23*1.76,2)&amp;" ̸ "&amp;FIXED(8*C23/3.7854,2)</f>
        <v>≈ 40.48 ̸ 48.61</v>
      </c>
      <c r="D24" s="2216" t="str">
        <f>"≈ "&amp;FIXED(D23*1.76,2)&amp;" ̸ "&amp;FIXED(8*D23/3.7854,2)</f>
        <v>≈ 40.48 ̸ 48.61</v>
      </c>
      <c r="E24" s="2215" t="str">
        <f>"≈ "&amp;FIXED(E23*1.76,2)&amp;" ̸ "&amp;FIXED(8*E23/3.7854,2)</f>
        <v>≈ 40.48 ̸ 48.61</v>
      </c>
      <c r="F24" s="2457" t="s">
        <v>667</v>
      </c>
      <c r="G24" s="5000" t="s">
        <v>661</v>
      </c>
      <c r="H24" s="5001"/>
      <c r="I24" s="2965">
        <f>C17</f>
        <v>4.0044514647818668</v>
      </c>
      <c r="J24" s="2966">
        <f>D17</f>
        <v>4.0044514647818668</v>
      </c>
      <c r="K24" s="2967">
        <f>E17</f>
        <v>3.9088262053086957</v>
      </c>
      <c r="L24" s="650"/>
      <c r="M24" s="5022"/>
      <c r="N24" s="5023"/>
      <c r="O24" s="5023"/>
      <c r="P24" s="5023"/>
      <c r="Q24" s="5023"/>
      <c r="R24" s="5023"/>
      <c r="S24" s="5023"/>
      <c r="T24" s="5024"/>
      <c r="U24" s="617"/>
      <c r="V24" s="2703">
        <v>7</v>
      </c>
      <c r="W24" s="646">
        <f t="shared" si="2"/>
        <v>8.4</v>
      </c>
      <c r="X24" s="869">
        <f t="shared" si="3"/>
        <v>3.9746700000000001</v>
      </c>
      <c r="Y24" s="555"/>
      <c r="Z24" s="555"/>
      <c r="AA24" s="555"/>
      <c r="AB24" s="555"/>
      <c r="AC24" s="717" t="s">
        <v>668</v>
      </c>
      <c r="AD24" s="717" t="s">
        <v>669</v>
      </c>
      <c r="AE24" s="717" t="s">
        <v>670</v>
      </c>
      <c r="AF24" s="692"/>
      <c r="AG24" s="692"/>
      <c r="AH24" s="2590"/>
      <c r="AI24" s="697" t="s">
        <v>668</v>
      </c>
      <c r="AJ24" s="697"/>
      <c r="AK24" s="2591"/>
      <c r="AL24" s="2592" t="s">
        <v>669</v>
      </c>
      <c r="AM24" s="2593"/>
      <c r="AN24" s="2593"/>
      <c r="AO24" s="2591"/>
      <c r="AP24" s="2594" t="s">
        <v>670</v>
      </c>
      <c r="AQ24" s="2595"/>
      <c r="AR24" s="2595"/>
      <c r="AS24" s="2589"/>
      <c r="AT24" s="877"/>
      <c r="AU24" s="692"/>
      <c r="AV24" s="692"/>
      <c r="AW24" s="626"/>
      <c r="AX24" s="626"/>
      <c r="AY24" s="626"/>
      <c r="AZ24" s="626"/>
      <c r="BA24" s="555"/>
    </row>
    <row r="25" spans="1:53" ht="15.75" customHeight="1">
      <c r="A25" s="617"/>
      <c r="B25" s="2805" t="s">
        <v>330</v>
      </c>
      <c r="C25" s="2217" t="s">
        <v>672</v>
      </c>
      <c r="D25" s="2218" t="s">
        <v>673</v>
      </c>
      <c r="E25" s="2219" t="s">
        <v>674</v>
      </c>
      <c r="F25" s="661" t="s">
        <v>73</v>
      </c>
      <c r="G25" s="2968" t="s">
        <v>84</v>
      </c>
      <c r="H25" s="2969" t="s">
        <v>671</v>
      </c>
      <c r="I25" s="2970" t="s">
        <v>672</v>
      </c>
      <c r="J25" s="2971" t="s">
        <v>673</v>
      </c>
      <c r="K25" s="2972" t="s">
        <v>674</v>
      </c>
      <c r="L25" s="641"/>
      <c r="M25" s="5025"/>
      <c r="N25" s="5026"/>
      <c r="O25" s="5026"/>
      <c r="P25" s="5026"/>
      <c r="Q25" s="5026"/>
      <c r="R25" s="5026"/>
      <c r="S25" s="5026"/>
      <c r="T25" s="5027"/>
      <c r="U25" s="617"/>
      <c r="V25" s="2703">
        <v>8</v>
      </c>
      <c r="W25" s="646">
        <f t="shared" si="2"/>
        <v>9.6</v>
      </c>
      <c r="X25" s="869">
        <f t="shared" si="3"/>
        <v>4.5424800000000003</v>
      </c>
      <c r="Y25" s="555"/>
      <c r="Z25" s="555"/>
      <c r="AA25" s="555"/>
      <c r="AB25" s="555"/>
      <c r="AC25" s="717" t="s">
        <v>116</v>
      </c>
      <c r="AD25" s="717" t="s">
        <v>116</v>
      </c>
      <c r="AE25" s="717" t="s">
        <v>116</v>
      </c>
      <c r="AF25" s="2596" t="s">
        <v>675</v>
      </c>
      <c r="AG25" s="697" t="s">
        <v>335</v>
      </c>
      <c r="AH25" s="2596" t="s">
        <v>334</v>
      </c>
      <c r="AI25" s="2589" t="s">
        <v>44</v>
      </c>
      <c r="AJ25" s="697" t="s">
        <v>336</v>
      </c>
      <c r="AK25" s="697" t="s">
        <v>335</v>
      </c>
      <c r="AL25" s="2596" t="s">
        <v>334</v>
      </c>
      <c r="AM25" s="2589" t="s">
        <v>44</v>
      </c>
      <c r="AN25" s="697" t="s">
        <v>336</v>
      </c>
      <c r="AO25" s="697" t="s">
        <v>335</v>
      </c>
      <c r="AP25" s="2596" t="s">
        <v>334</v>
      </c>
      <c r="AQ25" s="2589" t="s">
        <v>44</v>
      </c>
      <c r="AR25" s="697" t="s">
        <v>336</v>
      </c>
      <c r="AS25" s="697" t="s">
        <v>335</v>
      </c>
      <c r="AT25" s="877"/>
      <c r="AU25" s="692"/>
      <c r="AV25" s="692"/>
      <c r="AW25" s="626"/>
      <c r="AX25" s="626"/>
      <c r="AY25" s="626"/>
      <c r="AZ25" s="626"/>
      <c r="BA25" s="555"/>
    </row>
    <row r="26" spans="1:53" ht="15.75" customHeight="1">
      <c r="A26" s="5011" t="s">
        <v>337</v>
      </c>
      <c r="B26" s="2697" t="str">
        <f>'Beer Data Sheet'!Y42</f>
        <v>Pale malt</v>
      </c>
      <c r="C26" s="2220"/>
      <c r="D26" s="2223">
        <f>C26</f>
        <v>0</v>
      </c>
      <c r="E26" s="2224">
        <f t="shared" ref="D26:E42" si="4">D26</f>
        <v>0</v>
      </c>
      <c r="F26" s="859" t="s">
        <v>40</v>
      </c>
      <c r="G26" s="3578" t="str">
        <f>'Beer Data Sheet'!Y9</f>
        <v>Bramling Cross</v>
      </c>
      <c r="H26" s="2683">
        <f>'Beer Data Sheet'!Z9</f>
        <v>5.0999999999999996</v>
      </c>
      <c r="I26" s="2973"/>
      <c r="J26" s="2241">
        <f t="shared" ref="J26:K32" si="5">I26</f>
        <v>0</v>
      </c>
      <c r="K26" s="2221">
        <f t="shared" si="5"/>
        <v>0</v>
      </c>
      <c r="L26" s="650"/>
      <c r="M26" s="650"/>
      <c r="N26" s="650"/>
      <c r="O26" s="650"/>
      <c r="P26" s="650"/>
      <c r="Q26" s="650"/>
      <c r="R26" s="650"/>
      <c r="S26" s="650"/>
      <c r="T26" s="659"/>
      <c r="U26" s="617"/>
      <c r="V26" s="2703">
        <v>9</v>
      </c>
      <c r="W26" s="646">
        <f t="shared" si="2"/>
        <v>10.799999999999999</v>
      </c>
      <c r="X26" s="869">
        <f t="shared" si="3"/>
        <v>5.11029</v>
      </c>
      <c r="Y26" s="555"/>
      <c r="Z26" s="555"/>
      <c r="AA26" s="555"/>
      <c r="AB26" s="555"/>
      <c r="AC26" s="690">
        <f t="shared" ref="AC26" si="6">2*H26*I26</f>
        <v>0</v>
      </c>
      <c r="AD26" s="690">
        <f t="shared" ref="AD26" si="7">2*H26*J26</f>
        <v>0</v>
      </c>
      <c r="AE26" s="690">
        <f t="shared" ref="AE26" si="8">2*H26*K26</f>
        <v>0</v>
      </c>
      <c r="AF26" s="2597">
        <f>'Beer Data Sheet'!Z42*$L$8/100</f>
        <v>225</v>
      </c>
      <c r="AG26" s="721">
        <f>'Beer Data Sheet'!AD42</f>
        <v>4.0999999999999996</v>
      </c>
      <c r="AH26" s="2598">
        <f t="shared" ref="AH26:AH40" si="9">C$49/100</f>
        <v>0.75</v>
      </c>
      <c r="AI26" s="721">
        <f t="shared" ref="AI26" si="10">0.001*AF26*C26</f>
        <v>0</v>
      </c>
      <c r="AJ26" s="690">
        <f t="shared" ref="AJ26" si="11">AI26*AH26</f>
        <v>0</v>
      </c>
      <c r="AK26" s="690">
        <f t="shared" ref="AK26" si="12">0.01*AG26*C26</f>
        <v>0</v>
      </c>
      <c r="AL26" s="2598">
        <f t="shared" ref="AL26:AL40" si="13">D$49/100</f>
        <v>0.75</v>
      </c>
      <c r="AM26" s="721">
        <f t="shared" ref="AM26" si="14">0.001*AF26*D26</f>
        <v>0</v>
      </c>
      <c r="AN26" s="690">
        <f t="shared" ref="AN26" si="15">AM26*AL26</f>
        <v>0</v>
      </c>
      <c r="AO26" s="690">
        <f t="shared" ref="AO26" si="16">0.01*AG26*D26</f>
        <v>0</v>
      </c>
      <c r="AP26" s="2599">
        <f t="shared" ref="AP26:AP40" si="17">E$49/100</f>
        <v>0.75</v>
      </c>
      <c r="AQ26" s="721">
        <f t="shared" ref="AQ26" si="18">0.001*AF26*E26</f>
        <v>0</v>
      </c>
      <c r="AR26" s="690">
        <f t="shared" ref="AR26" si="19">AQ26*AP26</f>
        <v>0</v>
      </c>
      <c r="AS26" s="2600">
        <f t="shared" ref="AS26" si="20">0.01*AG26*E26</f>
        <v>0</v>
      </c>
      <c r="AT26" s="877"/>
      <c r="AU26" s="692"/>
      <c r="AV26" s="692"/>
      <c r="AW26" s="626"/>
      <c r="AX26" s="626"/>
      <c r="AY26" s="626"/>
      <c r="AZ26" s="626"/>
      <c r="BA26" s="555"/>
    </row>
    <row r="27" spans="1:53" ht="15.75" customHeight="1">
      <c r="A27" s="5012"/>
      <c r="B27" s="2697" t="str">
        <f>'Beer Data Sheet'!Y43</f>
        <v>Lager malt (Pilsner)</v>
      </c>
      <c r="C27" s="2222"/>
      <c r="D27" s="2223">
        <f t="shared" ref="D27:D33" si="21">C27</f>
        <v>0</v>
      </c>
      <c r="E27" s="2224">
        <f t="shared" si="4"/>
        <v>0</v>
      </c>
      <c r="F27" s="665" t="s">
        <v>40</v>
      </c>
      <c r="G27" s="3578" t="str">
        <f>'Beer Data Sheet'!Y10</f>
        <v>Bullion</v>
      </c>
      <c r="H27" s="2683">
        <f>'Beer Data Sheet'!Z10</f>
        <v>10</v>
      </c>
      <c r="I27" s="2974"/>
      <c r="J27" s="2242">
        <f t="shared" si="5"/>
        <v>0</v>
      </c>
      <c r="K27" s="2224">
        <f t="shared" si="5"/>
        <v>0</v>
      </c>
      <c r="L27" s="617"/>
      <c r="M27" s="5013" t="s">
        <v>1762</v>
      </c>
      <c r="N27" s="5013"/>
      <c r="O27" s="453"/>
      <c r="P27" s="453"/>
      <c r="Q27" s="453"/>
      <c r="R27" s="453"/>
      <c r="S27" s="453"/>
      <c r="T27" s="659"/>
      <c r="U27" s="2617"/>
      <c r="V27" s="2703">
        <v>10</v>
      </c>
      <c r="W27" s="646">
        <f t="shared" si="2"/>
        <v>12</v>
      </c>
      <c r="X27" s="869">
        <f t="shared" si="3"/>
        <v>5.6781000000000006</v>
      </c>
      <c r="Y27" s="555"/>
      <c r="Z27" s="555"/>
      <c r="AA27" s="555"/>
      <c r="AB27" s="555"/>
      <c r="AC27" s="690">
        <f t="shared" ref="AC27:AC48" si="22">2*H27*I27</f>
        <v>0</v>
      </c>
      <c r="AD27" s="690">
        <f t="shared" ref="AD27:AD48" si="23">2*H27*J27</f>
        <v>0</v>
      </c>
      <c r="AE27" s="690">
        <f t="shared" ref="AE27:AE48" si="24">2*H27*K27</f>
        <v>0</v>
      </c>
      <c r="AF27" s="2597">
        <f>'Beer Data Sheet'!Z43*$L$8/100</f>
        <v>225</v>
      </c>
      <c r="AG27" s="721">
        <f>'Beer Data Sheet'!AD43</f>
        <v>2.2000000000000002</v>
      </c>
      <c r="AH27" s="2598">
        <f t="shared" si="9"/>
        <v>0.75</v>
      </c>
      <c r="AI27" s="721">
        <f t="shared" ref="AI27:AI45" si="25">0.001*AF27*C27</f>
        <v>0</v>
      </c>
      <c r="AJ27" s="690">
        <f t="shared" ref="AJ27:AJ45" si="26">AI27*AH27</f>
        <v>0</v>
      </c>
      <c r="AK27" s="690">
        <f t="shared" ref="AK27:AK45" si="27">0.01*AG27*C27</f>
        <v>0</v>
      </c>
      <c r="AL27" s="2598">
        <f t="shared" si="13"/>
        <v>0.75</v>
      </c>
      <c r="AM27" s="721">
        <f t="shared" ref="AM27:AM45" si="28">0.001*AF27*D27</f>
        <v>0</v>
      </c>
      <c r="AN27" s="690">
        <f t="shared" ref="AN27:AN45" si="29">AM27*AL27</f>
        <v>0</v>
      </c>
      <c r="AO27" s="690">
        <f t="shared" ref="AO27:AO45" si="30">0.01*AG27*D27</f>
        <v>0</v>
      </c>
      <c r="AP27" s="2599">
        <f t="shared" si="17"/>
        <v>0.75</v>
      </c>
      <c r="AQ27" s="721">
        <f t="shared" ref="AQ27:AQ45" si="31">0.001*AF27*E27</f>
        <v>0</v>
      </c>
      <c r="AR27" s="690">
        <f t="shared" ref="AR27:AR45" si="32">AQ27*AP27</f>
        <v>0</v>
      </c>
      <c r="AS27" s="2600">
        <f t="shared" ref="AS27:AS45" si="33">0.01*AG27*E27</f>
        <v>0</v>
      </c>
      <c r="AT27" s="877"/>
      <c r="AU27" s="692"/>
      <c r="AV27" s="692"/>
      <c r="AW27" s="626"/>
      <c r="AX27" s="626"/>
      <c r="AY27" s="626"/>
      <c r="AZ27" s="626"/>
      <c r="BA27" s="555"/>
    </row>
    <row r="28" spans="1:53" ht="15.75" customHeight="1">
      <c r="A28" s="5012"/>
      <c r="B28" s="2697" t="str">
        <f>'Beer Data Sheet'!Y44</f>
        <v>Mild Ale malt</v>
      </c>
      <c r="C28" s="2222"/>
      <c r="D28" s="2223">
        <f t="shared" si="21"/>
        <v>0</v>
      </c>
      <c r="E28" s="2224">
        <f t="shared" si="4"/>
        <v>0</v>
      </c>
      <c r="F28" s="665" t="s">
        <v>40</v>
      </c>
      <c r="G28" s="3578" t="str">
        <f>'Beer Data Sheet'!Y11</f>
        <v>Challenger</v>
      </c>
      <c r="H28" s="2683">
        <f>'Beer Data Sheet'!Z11</f>
        <v>7.5</v>
      </c>
      <c r="I28" s="2974"/>
      <c r="J28" s="2242">
        <f t="shared" si="5"/>
        <v>0</v>
      </c>
      <c r="K28" s="2224">
        <f t="shared" si="5"/>
        <v>0</v>
      </c>
      <c r="L28" s="617"/>
      <c r="M28" s="4068" t="str">
        <f>"1 level 5ml tsp sugar = "&amp;'Beer Data Sheet'!O20&amp;"g"</f>
        <v>1 level 5ml tsp sugar = 3.15g</v>
      </c>
      <c r="N28" s="4068"/>
      <c r="O28" s="4068"/>
      <c r="P28" s="453"/>
      <c r="Q28" s="453"/>
      <c r="R28" s="453"/>
      <c r="S28" s="453"/>
      <c r="T28" s="659"/>
      <c r="U28" s="2617"/>
      <c r="V28" s="2617"/>
      <c r="W28" s="2617"/>
      <c r="X28" s="2617"/>
      <c r="Y28" s="2618"/>
      <c r="Z28" s="555"/>
      <c r="AA28" s="555"/>
      <c r="AB28" s="555"/>
      <c r="AC28" s="690">
        <f t="shared" si="22"/>
        <v>0</v>
      </c>
      <c r="AD28" s="690">
        <f t="shared" si="23"/>
        <v>0</v>
      </c>
      <c r="AE28" s="690">
        <f t="shared" si="24"/>
        <v>0</v>
      </c>
      <c r="AF28" s="2597">
        <f>'Beer Data Sheet'!Z44*$L$8/100</f>
        <v>221.25</v>
      </c>
      <c r="AG28" s="721">
        <f>'Beer Data Sheet'!AD44</f>
        <v>4.97</v>
      </c>
      <c r="AH28" s="2598">
        <f t="shared" si="9"/>
        <v>0.75</v>
      </c>
      <c r="AI28" s="721">
        <f t="shared" si="25"/>
        <v>0</v>
      </c>
      <c r="AJ28" s="690">
        <f t="shared" si="26"/>
        <v>0</v>
      </c>
      <c r="AK28" s="690">
        <f t="shared" si="27"/>
        <v>0</v>
      </c>
      <c r="AL28" s="2598">
        <f t="shared" si="13"/>
        <v>0.75</v>
      </c>
      <c r="AM28" s="721">
        <f t="shared" si="28"/>
        <v>0</v>
      </c>
      <c r="AN28" s="690">
        <f t="shared" si="29"/>
        <v>0</v>
      </c>
      <c r="AO28" s="690">
        <f t="shared" si="30"/>
        <v>0</v>
      </c>
      <c r="AP28" s="2599">
        <f t="shared" si="17"/>
        <v>0.75</v>
      </c>
      <c r="AQ28" s="721">
        <f t="shared" si="31"/>
        <v>0</v>
      </c>
      <c r="AR28" s="690">
        <f t="shared" si="32"/>
        <v>0</v>
      </c>
      <c r="AS28" s="2600">
        <f t="shared" si="33"/>
        <v>0</v>
      </c>
      <c r="AT28" s="877"/>
      <c r="AU28" s="692"/>
      <c r="AV28" s="692"/>
      <c r="AW28" s="626"/>
      <c r="AX28" s="626"/>
      <c r="AY28" s="626"/>
      <c r="AZ28" s="626"/>
      <c r="BA28" s="555"/>
    </row>
    <row r="29" spans="1:53" ht="15.75" customHeight="1">
      <c r="A29" s="5012"/>
      <c r="B29" s="2697" t="str">
        <f>'Beer Data Sheet'!Y45</f>
        <v xml:space="preserve">Flaked ̸ Torrified barley </v>
      </c>
      <c r="C29" s="2222"/>
      <c r="D29" s="2223">
        <f t="shared" si="21"/>
        <v>0</v>
      </c>
      <c r="E29" s="2224">
        <f t="shared" si="4"/>
        <v>0</v>
      </c>
      <c r="F29" s="665" t="s">
        <v>40</v>
      </c>
      <c r="G29" s="3578" t="str">
        <f>'Beer Data Sheet'!Y12</f>
        <v>EKG</v>
      </c>
      <c r="H29" s="2683">
        <f>'Beer Data Sheet'!Z12</f>
        <v>5.5</v>
      </c>
      <c r="I29" s="2974"/>
      <c r="J29" s="2242">
        <f t="shared" si="5"/>
        <v>0</v>
      </c>
      <c r="K29" s="2224">
        <f t="shared" si="5"/>
        <v>0</v>
      </c>
      <c r="L29" s="617"/>
      <c r="M29" s="5014" t="s">
        <v>55</v>
      </c>
      <c r="N29" s="4446"/>
      <c r="O29" s="4447"/>
      <c r="P29" s="453"/>
      <c r="Q29" s="453"/>
      <c r="R29" s="453"/>
      <c r="S29" s="453"/>
      <c r="T29" s="659"/>
      <c r="U29" s="2617"/>
      <c r="V29" s="2862" t="s">
        <v>340</v>
      </c>
      <c r="W29" s="2661" t="s">
        <v>339</v>
      </c>
      <c r="X29" s="2662" t="s">
        <v>79</v>
      </c>
      <c r="Y29" s="2618"/>
      <c r="Z29" s="555"/>
      <c r="AA29" s="555"/>
      <c r="AB29" s="555"/>
      <c r="AC29" s="690">
        <f t="shared" si="22"/>
        <v>0</v>
      </c>
      <c r="AD29" s="690">
        <f t="shared" si="23"/>
        <v>0</v>
      </c>
      <c r="AE29" s="690">
        <f t="shared" si="24"/>
        <v>0</v>
      </c>
      <c r="AF29" s="2597">
        <f>'Beer Data Sheet'!Z45*$L$8/100</f>
        <v>187.5</v>
      </c>
      <c r="AG29" s="721">
        <f>'Beer Data Sheet'!AD45</f>
        <v>2.13</v>
      </c>
      <c r="AH29" s="2598">
        <f t="shared" si="9"/>
        <v>0.75</v>
      </c>
      <c r="AI29" s="721">
        <f t="shared" si="25"/>
        <v>0</v>
      </c>
      <c r="AJ29" s="690">
        <f t="shared" si="26"/>
        <v>0</v>
      </c>
      <c r="AK29" s="690">
        <f t="shared" si="27"/>
        <v>0</v>
      </c>
      <c r="AL29" s="2598">
        <f t="shared" si="13"/>
        <v>0.75</v>
      </c>
      <c r="AM29" s="721">
        <f t="shared" si="28"/>
        <v>0</v>
      </c>
      <c r="AN29" s="690">
        <f t="shared" si="29"/>
        <v>0</v>
      </c>
      <c r="AO29" s="690">
        <f t="shared" si="30"/>
        <v>0</v>
      </c>
      <c r="AP29" s="2599">
        <f t="shared" si="17"/>
        <v>0.75</v>
      </c>
      <c r="AQ29" s="721">
        <f t="shared" si="31"/>
        <v>0</v>
      </c>
      <c r="AR29" s="690">
        <f t="shared" si="32"/>
        <v>0</v>
      </c>
      <c r="AS29" s="2600">
        <f t="shared" si="33"/>
        <v>0</v>
      </c>
      <c r="AT29" s="877"/>
      <c r="AU29" s="692"/>
      <c r="AV29" s="692"/>
      <c r="AW29" s="626"/>
      <c r="AX29" s="626"/>
      <c r="AY29" s="626"/>
      <c r="AZ29" s="692"/>
      <c r="BA29" s="453"/>
    </row>
    <row r="30" spans="1:53" ht="15.75" customHeight="1">
      <c r="A30" s="5012"/>
      <c r="B30" s="2697" t="str">
        <f>'Beer Data Sheet'!Y46</f>
        <v>Wheat malt ̸ Malted wheat</v>
      </c>
      <c r="C30" s="2222"/>
      <c r="D30" s="2223">
        <f t="shared" si="21"/>
        <v>0</v>
      </c>
      <c r="E30" s="2224">
        <f t="shared" si="4"/>
        <v>0</v>
      </c>
      <c r="F30" s="665" t="s">
        <v>40</v>
      </c>
      <c r="G30" s="3578" t="str">
        <f>'Beer Data Sheet'!Y13</f>
        <v>First Gold</v>
      </c>
      <c r="H30" s="2683">
        <f>'Beer Data Sheet'!Z13</f>
        <v>7.9</v>
      </c>
      <c r="I30" s="2974"/>
      <c r="J30" s="2242">
        <f t="shared" si="5"/>
        <v>0</v>
      </c>
      <c r="K30" s="2224">
        <f t="shared" si="5"/>
        <v>0</v>
      </c>
      <c r="L30" s="617"/>
      <c r="M30" s="407" t="s">
        <v>61</v>
      </c>
      <c r="N30" s="407" t="s">
        <v>62</v>
      </c>
      <c r="O30" s="408" t="s">
        <v>63</v>
      </c>
      <c r="P30" s="453"/>
      <c r="Q30" s="453"/>
      <c r="R30" s="453"/>
      <c r="S30" s="453"/>
      <c r="T30" s="659"/>
      <c r="U30" s="2617"/>
      <c r="V30" s="2663">
        <v>1</v>
      </c>
      <c r="W30" s="2664">
        <f>V30*(5/6)</f>
        <v>0.83333333333333337</v>
      </c>
      <c r="X30" s="2662">
        <f>3.7854*V30/8</f>
        <v>0.47317500000000001</v>
      </c>
      <c r="Y30" s="2618"/>
      <c r="Z30" s="555"/>
      <c r="AA30" s="555"/>
      <c r="AB30" s="555"/>
      <c r="AC30" s="690">
        <f t="shared" si="22"/>
        <v>0</v>
      </c>
      <c r="AD30" s="690">
        <f t="shared" si="23"/>
        <v>0</v>
      </c>
      <c r="AE30" s="690">
        <f t="shared" si="24"/>
        <v>0</v>
      </c>
      <c r="AF30" s="2597">
        <f>'Beer Data Sheet'!Z46*$L$8/100</f>
        <v>228.75</v>
      </c>
      <c r="AG30" s="721">
        <f>'Beer Data Sheet'!AD46</f>
        <v>2.13</v>
      </c>
      <c r="AH30" s="2598">
        <f t="shared" si="9"/>
        <v>0.75</v>
      </c>
      <c r="AI30" s="721">
        <f t="shared" si="25"/>
        <v>0</v>
      </c>
      <c r="AJ30" s="690">
        <f t="shared" si="26"/>
        <v>0</v>
      </c>
      <c r="AK30" s="690">
        <f t="shared" si="27"/>
        <v>0</v>
      </c>
      <c r="AL30" s="2598">
        <f t="shared" si="13"/>
        <v>0.75</v>
      </c>
      <c r="AM30" s="721">
        <f t="shared" si="28"/>
        <v>0</v>
      </c>
      <c r="AN30" s="690">
        <f t="shared" si="29"/>
        <v>0</v>
      </c>
      <c r="AO30" s="690">
        <f t="shared" si="30"/>
        <v>0</v>
      </c>
      <c r="AP30" s="2599">
        <f t="shared" si="17"/>
        <v>0.75</v>
      </c>
      <c r="AQ30" s="721">
        <f t="shared" si="31"/>
        <v>0</v>
      </c>
      <c r="AR30" s="690">
        <f t="shared" si="32"/>
        <v>0</v>
      </c>
      <c r="AS30" s="2600">
        <f t="shared" si="33"/>
        <v>0</v>
      </c>
      <c r="AT30" s="877"/>
      <c r="AU30" s="692"/>
      <c r="AV30" s="692"/>
      <c r="AW30" s="626"/>
      <c r="AX30" s="626"/>
      <c r="AY30" s="626"/>
      <c r="AZ30" s="692"/>
      <c r="BA30" s="453"/>
    </row>
    <row r="31" spans="1:53" ht="15.75" customHeight="1">
      <c r="A31" s="5012"/>
      <c r="B31" s="2697" t="str">
        <f>'Beer Data Sheet'!Y47</f>
        <v>Oats</v>
      </c>
      <c r="C31" s="2222"/>
      <c r="D31" s="2223">
        <f t="shared" si="21"/>
        <v>0</v>
      </c>
      <c r="E31" s="2224">
        <f t="shared" si="4"/>
        <v>0</v>
      </c>
      <c r="F31" s="665" t="s">
        <v>40</v>
      </c>
      <c r="G31" s="3578" t="str">
        <f>'Beer Data Sheet'!Y14</f>
        <v>Fuggles</v>
      </c>
      <c r="H31" s="2683">
        <f>'Beer Data Sheet'!Z14</f>
        <v>4.5</v>
      </c>
      <c r="I31" s="2974"/>
      <c r="J31" s="2242">
        <f t="shared" si="5"/>
        <v>0</v>
      </c>
      <c r="K31" s="2224">
        <f t="shared" si="5"/>
        <v>0</v>
      </c>
      <c r="L31" s="617"/>
      <c r="M31" s="411">
        <f>N31*'Beer Data Sheet'!O20</f>
        <v>3.15</v>
      </c>
      <c r="N31" s="410">
        <v>1</v>
      </c>
      <c r="O31" s="411">
        <f>N31/'Beer Data Sheet'!O20</f>
        <v>0.31746031746031744</v>
      </c>
      <c r="P31" s="453"/>
      <c r="Q31" s="453"/>
      <c r="R31" s="659"/>
      <c r="S31" s="659"/>
      <c r="T31" s="659"/>
      <c r="U31" s="2617"/>
      <c r="V31" s="2663">
        <v>2</v>
      </c>
      <c r="W31" s="2664">
        <f>V31*(5/6)</f>
        <v>1.6666666666666667</v>
      </c>
      <c r="X31" s="2662">
        <f>3.7854*V31/8</f>
        <v>0.94635000000000002</v>
      </c>
      <c r="Y31" s="2618"/>
      <c r="Z31" s="555"/>
      <c r="AA31" s="555"/>
      <c r="AB31" s="555"/>
      <c r="AC31" s="690">
        <f t="shared" si="22"/>
        <v>0</v>
      </c>
      <c r="AD31" s="690">
        <f t="shared" si="23"/>
        <v>0</v>
      </c>
      <c r="AE31" s="690">
        <f t="shared" si="24"/>
        <v>0</v>
      </c>
      <c r="AF31" s="2597">
        <f>'Beer Data Sheet'!Z47*$L$8/100</f>
        <v>187.5</v>
      </c>
      <c r="AG31" s="721">
        <f>'Beer Data Sheet'!AD47</f>
        <v>1.0649999999999999</v>
      </c>
      <c r="AH31" s="2598">
        <f t="shared" si="9"/>
        <v>0.75</v>
      </c>
      <c r="AI31" s="721">
        <f t="shared" si="25"/>
        <v>0</v>
      </c>
      <c r="AJ31" s="690">
        <f t="shared" si="26"/>
        <v>0</v>
      </c>
      <c r="AK31" s="690">
        <f t="shared" si="27"/>
        <v>0</v>
      </c>
      <c r="AL31" s="2598">
        <f t="shared" si="13"/>
        <v>0.75</v>
      </c>
      <c r="AM31" s="721">
        <f t="shared" si="28"/>
        <v>0</v>
      </c>
      <c r="AN31" s="690">
        <f t="shared" si="29"/>
        <v>0</v>
      </c>
      <c r="AO31" s="690">
        <f t="shared" si="30"/>
        <v>0</v>
      </c>
      <c r="AP31" s="2599">
        <f t="shared" si="17"/>
        <v>0.75</v>
      </c>
      <c r="AQ31" s="721">
        <f t="shared" si="31"/>
        <v>0</v>
      </c>
      <c r="AR31" s="690">
        <f t="shared" si="32"/>
        <v>0</v>
      </c>
      <c r="AS31" s="2600">
        <f t="shared" si="33"/>
        <v>0</v>
      </c>
      <c r="AT31" s="877"/>
      <c r="AU31" s="692"/>
      <c r="AV31" s="692"/>
      <c r="AW31" s="626"/>
      <c r="AX31" s="626"/>
      <c r="AY31" s="626"/>
      <c r="AZ31" s="692"/>
      <c r="BA31" s="453"/>
    </row>
    <row r="32" spans="1:53" ht="15.75" customHeight="1">
      <c r="A32" s="5050" t="s">
        <v>338</v>
      </c>
      <c r="B32" s="2698" t="str">
        <f>'Beer Data Sheet'!Y48</f>
        <v>Extract (LIQUID - light)</v>
      </c>
      <c r="C32" s="2225">
        <v>1880</v>
      </c>
      <c r="D32" s="2223">
        <f t="shared" si="21"/>
        <v>1880</v>
      </c>
      <c r="E32" s="2224">
        <v>0</v>
      </c>
      <c r="F32" s="667" t="s">
        <v>40</v>
      </c>
      <c r="G32" s="3578" t="str">
        <f>'Beer Data Sheet'!Y15</f>
        <v>Goldings (Worc.)</v>
      </c>
      <c r="H32" s="2683">
        <f>'Beer Data Sheet'!Z15</f>
        <v>5</v>
      </c>
      <c r="I32" s="2974"/>
      <c r="J32" s="2242">
        <f t="shared" si="5"/>
        <v>0</v>
      </c>
      <c r="K32" s="2224">
        <f t="shared" si="5"/>
        <v>0</v>
      </c>
      <c r="L32" s="617"/>
      <c r="M32" s="668"/>
      <c r="N32" s="668"/>
      <c r="O32" s="668"/>
      <c r="P32" s="453"/>
      <c r="Q32" s="453"/>
      <c r="R32" s="659"/>
      <c r="S32" s="659"/>
      <c r="T32" s="659"/>
      <c r="U32" s="2617"/>
      <c r="V32" s="2663">
        <v>3</v>
      </c>
      <c r="W32" s="2664">
        <f>V32*(5/6)</f>
        <v>2.5</v>
      </c>
      <c r="X32" s="2662">
        <f>3.7854*V32/8</f>
        <v>1.4195250000000001</v>
      </c>
      <c r="Y32" s="2618"/>
      <c r="Z32" s="555"/>
      <c r="AA32" s="555"/>
      <c r="AB32" s="555"/>
      <c r="AC32" s="690">
        <f t="shared" si="22"/>
        <v>0</v>
      </c>
      <c r="AD32" s="690">
        <f t="shared" si="23"/>
        <v>0</v>
      </c>
      <c r="AE32" s="690">
        <f t="shared" si="24"/>
        <v>0</v>
      </c>
      <c r="AF32" s="2656">
        <f>'Beer Data Sheet'!Z48</f>
        <v>310</v>
      </c>
      <c r="AG32" s="721">
        <f>'Beer Data Sheet'!AD48</f>
        <v>10</v>
      </c>
      <c r="AH32" s="2601">
        <f t="shared" si="9"/>
        <v>0.75</v>
      </c>
      <c r="AI32" s="721">
        <f t="shared" si="25"/>
        <v>582.79999999999995</v>
      </c>
      <c r="AJ32" s="690">
        <f t="shared" si="26"/>
        <v>437.09999999999997</v>
      </c>
      <c r="AK32" s="690">
        <f t="shared" si="27"/>
        <v>188</v>
      </c>
      <c r="AL32" s="2601">
        <f t="shared" si="13"/>
        <v>0.75</v>
      </c>
      <c r="AM32" s="721">
        <f t="shared" si="28"/>
        <v>582.79999999999995</v>
      </c>
      <c r="AN32" s="690">
        <f t="shared" si="29"/>
        <v>437.09999999999997</v>
      </c>
      <c r="AO32" s="690">
        <f t="shared" si="30"/>
        <v>188</v>
      </c>
      <c r="AP32" s="2599">
        <f t="shared" si="17"/>
        <v>0.75</v>
      </c>
      <c r="AQ32" s="721">
        <f t="shared" si="31"/>
        <v>0</v>
      </c>
      <c r="AR32" s="690">
        <f t="shared" si="32"/>
        <v>0</v>
      </c>
      <c r="AS32" s="2600">
        <f t="shared" si="33"/>
        <v>0</v>
      </c>
      <c r="AT32" s="877"/>
      <c r="AU32" s="692"/>
      <c r="AV32" s="692"/>
      <c r="AW32" s="626"/>
      <c r="AX32" s="626"/>
      <c r="AY32" s="626"/>
      <c r="AZ32" s="692"/>
      <c r="BA32" s="453"/>
    </row>
    <row r="33" spans="1:53" ht="15.75" customHeight="1">
      <c r="A33" s="5050"/>
      <c r="B33" s="2698" t="str">
        <f>'Beer Data Sheet'!Y49</f>
        <v>Extract (DRY - light)</v>
      </c>
      <c r="C33" s="2225"/>
      <c r="D33" s="2223">
        <f t="shared" si="21"/>
        <v>0</v>
      </c>
      <c r="E33" s="2224">
        <v>1500</v>
      </c>
      <c r="F33" s="667" t="s">
        <v>40</v>
      </c>
      <c r="G33" s="3578" t="str">
        <f>'Beer Data Sheet'!Y16</f>
        <v>Hallertauer ("German")</v>
      </c>
      <c r="H33" s="2683">
        <f>'Beer Data Sheet'!Z16</f>
        <v>2</v>
      </c>
      <c r="I33" s="2974"/>
      <c r="J33" s="2242">
        <f t="shared" ref="J33:J48" si="34">I33</f>
        <v>0</v>
      </c>
      <c r="K33" s="2224">
        <f t="shared" ref="K33:K48" si="35">J33</f>
        <v>0</v>
      </c>
      <c r="L33" s="617"/>
      <c r="M33" s="668"/>
      <c r="N33" s="668"/>
      <c r="O33" s="668"/>
      <c r="P33" s="453"/>
      <c r="Q33" s="453"/>
      <c r="R33" s="659"/>
      <c r="S33" s="659"/>
      <c r="T33" s="659"/>
      <c r="U33" s="2617"/>
      <c r="V33" s="2663">
        <v>4</v>
      </c>
      <c r="W33" s="2664">
        <f t="shared" ref="W33:W40" si="36">V33*(5/6)</f>
        <v>3.3333333333333335</v>
      </c>
      <c r="X33" s="2662">
        <f t="shared" ref="X33:X40" si="37">3.7854*V33/8</f>
        <v>1.8927</v>
      </c>
      <c r="Y33" s="2618"/>
      <c r="Z33" s="555"/>
      <c r="AA33" s="555"/>
      <c r="AB33" s="555"/>
      <c r="AC33" s="690">
        <f t="shared" si="22"/>
        <v>0</v>
      </c>
      <c r="AD33" s="690">
        <f t="shared" si="23"/>
        <v>0</v>
      </c>
      <c r="AE33" s="690">
        <f t="shared" si="24"/>
        <v>0</v>
      </c>
      <c r="AF33" s="2656">
        <f>'Beer Data Sheet'!Z49</f>
        <v>365</v>
      </c>
      <c r="AG33" s="721">
        <f>'Beer Data Sheet'!AD49</f>
        <v>11</v>
      </c>
      <c r="AH33" s="2601">
        <f>C$49/100</f>
        <v>0.75</v>
      </c>
      <c r="AI33" s="721">
        <f t="shared" si="25"/>
        <v>0</v>
      </c>
      <c r="AJ33" s="690">
        <f t="shared" si="26"/>
        <v>0</v>
      </c>
      <c r="AK33" s="690">
        <f t="shared" si="27"/>
        <v>0</v>
      </c>
      <c r="AL33" s="2601">
        <f>D$49/100</f>
        <v>0.75</v>
      </c>
      <c r="AM33" s="721">
        <f t="shared" si="28"/>
        <v>0</v>
      </c>
      <c r="AN33" s="690">
        <f t="shared" si="29"/>
        <v>0</v>
      </c>
      <c r="AO33" s="690">
        <f t="shared" si="30"/>
        <v>0</v>
      </c>
      <c r="AP33" s="2599">
        <f>E$49/100</f>
        <v>0.75</v>
      </c>
      <c r="AQ33" s="721">
        <f t="shared" si="31"/>
        <v>547.5</v>
      </c>
      <c r="AR33" s="690">
        <f t="shared" si="32"/>
        <v>410.625</v>
      </c>
      <c r="AS33" s="2600">
        <f t="shared" si="33"/>
        <v>165</v>
      </c>
      <c r="AT33" s="877"/>
      <c r="AU33" s="692"/>
      <c r="AV33" s="692"/>
      <c r="AW33" s="626"/>
      <c r="AX33" s="626"/>
      <c r="AY33" s="626"/>
      <c r="AZ33" s="692"/>
      <c r="BA33" s="453"/>
    </row>
    <row r="34" spans="1:53" ht="15.75" customHeight="1">
      <c r="A34" s="5050"/>
      <c r="B34" s="2698" t="str">
        <f>'Beer Data Sheet'!Y50</f>
        <v>Extract (LIQUID - wheat)</v>
      </c>
      <c r="C34" s="2225"/>
      <c r="D34" s="2223">
        <f t="shared" ref="D34:D39" si="38">C34</f>
        <v>0</v>
      </c>
      <c r="E34" s="2224">
        <f t="shared" si="4"/>
        <v>0</v>
      </c>
      <c r="F34" s="667" t="s">
        <v>40</v>
      </c>
      <c r="G34" s="3578" t="str">
        <f>'Beer Data Sheet'!Y17</f>
        <v>Hallertauer ("Pacific")</v>
      </c>
      <c r="H34" s="2683">
        <f>'Beer Data Sheet'!Z17</f>
        <v>6.7</v>
      </c>
      <c r="I34" s="2974"/>
      <c r="J34" s="2242">
        <f t="shared" si="34"/>
        <v>0</v>
      </c>
      <c r="K34" s="2224">
        <f t="shared" si="35"/>
        <v>0</v>
      </c>
      <c r="L34" s="617"/>
      <c r="M34" s="5051" t="s">
        <v>367</v>
      </c>
      <c r="N34" s="5051"/>
      <c r="O34" s="5051"/>
      <c r="P34" s="5051"/>
      <c r="Q34" s="2523"/>
      <c r="R34" s="453"/>
      <c r="S34" s="617"/>
      <c r="T34" s="617"/>
      <c r="U34" s="617"/>
      <c r="V34" s="2663">
        <v>5</v>
      </c>
      <c r="W34" s="2664">
        <f t="shared" si="36"/>
        <v>4.166666666666667</v>
      </c>
      <c r="X34" s="2662">
        <f t="shared" si="37"/>
        <v>2.365875</v>
      </c>
      <c r="Y34" s="2618"/>
      <c r="Z34" s="555"/>
      <c r="AA34" s="555"/>
      <c r="AB34" s="555"/>
      <c r="AC34" s="690">
        <f t="shared" si="22"/>
        <v>0</v>
      </c>
      <c r="AD34" s="690">
        <f t="shared" si="23"/>
        <v>0</v>
      </c>
      <c r="AE34" s="690">
        <f t="shared" si="24"/>
        <v>0</v>
      </c>
      <c r="AF34" s="2656">
        <f>'Beer Data Sheet'!Z50</f>
        <v>366</v>
      </c>
      <c r="AG34" s="721">
        <f>'Beer Data Sheet'!AD50</f>
        <v>11</v>
      </c>
      <c r="AH34" s="2601">
        <f>C$49/100</f>
        <v>0.75</v>
      </c>
      <c r="AI34" s="721">
        <f t="shared" si="25"/>
        <v>0</v>
      </c>
      <c r="AJ34" s="690">
        <f t="shared" si="26"/>
        <v>0</v>
      </c>
      <c r="AK34" s="690">
        <f t="shared" si="27"/>
        <v>0</v>
      </c>
      <c r="AL34" s="2601">
        <f>D$49/100</f>
        <v>0.75</v>
      </c>
      <c r="AM34" s="721">
        <f t="shared" si="28"/>
        <v>0</v>
      </c>
      <c r="AN34" s="690">
        <f t="shared" si="29"/>
        <v>0</v>
      </c>
      <c r="AO34" s="690">
        <f t="shared" si="30"/>
        <v>0</v>
      </c>
      <c r="AP34" s="2599">
        <f>E$49/100</f>
        <v>0.75</v>
      </c>
      <c r="AQ34" s="721">
        <f t="shared" si="31"/>
        <v>0</v>
      </c>
      <c r="AR34" s="690">
        <f t="shared" si="32"/>
        <v>0</v>
      </c>
      <c r="AS34" s="2600">
        <f t="shared" si="33"/>
        <v>0</v>
      </c>
      <c r="AT34" s="877"/>
      <c r="AU34" s="692"/>
      <c r="AV34" s="692"/>
      <c r="AW34" s="626"/>
      <c r="AX34" s="626"/>
      <c r="AY34" s="626"/>
      <c r="AZ34" s="692"/>
      <c r="BA34" s="453"/>
    </row>
    <row r="35" spans="1:53" ht="15.75" customHeight="1">
      <c r="A35" s="5052" t="s">
        <v>128</v>
      </c>
      <c r="B35" s="3579" t="str">
        <f>'Beer Data Sheet'!Y51</f>
        <v>Black</v>
      </c>
      <c r="C35" s="2225"/>
      <c r="D35" s="2223">
        <f t="shared" si="38"/>
        <v>0</v>
      </c>
      <c r="E35" s="2224">
        <f t="shared" si="4"/>
        <v>0</v>
      </c>
      <c r="F35" s="670" t="s">
        <v>40</v>
      </c>
      <c r="G35" s="3578" t="str">
        <f>'Beer Data Sheet'!Y18</f>
        <v>Liberty</v>
      </c>
      <c r="H35" s="2683">
        <f>'Beer Data Sheet'!Z18</f>
        <v>4</v>
      </c>
      <c r="I35" s="2974"/>
      <c r="J35" s="2242">
        <f t="shared" si="34"/>
        <v>0</v>
      </c>
      <c r="K35" s="2224">
        <f t="shared" si="35"/>
        <v>0</v>
      </c>
      <c r="L35" s="617"/>
      <c r="M35" s="5053" t="s">
        <v>210</v>
      </c>
      <c r="N35" s="5053"/>
      <c r="O35" s="5053"/>
      <c r="P35" s="5053"/>
      <c r="Q35" s="5053"/>
      <c r="R35" s="453"/>
      <c r="S35" s="617"/>
      <c r="T35" s="632"/>
      <c r="U35" s="632"/>
      <c r="V35" s="2663">
        <v>6</v>
      </c>
      <c r="W35" s="2664">
        <f t="shared" si="36"/>
        <v>5</v>
      </c>
      <c r="X35" s="2662">
        <f t="shared" si="37"/>
        <v>2.8390500000000003</v>
      </c>
      <c r="Y35" s="2618"/>
      <c r="Z35" s="555"/>
      <c r="AA35" s="555"/>
      <c r="AB35" s="632"/>
      <c r="AC35" s="690">
        <f t="shared" si="22"/>
        <v>0</v>
      </c>
      <c r="AD35" s="690">
        <f t="shared" si="23"/>
        <v>0</v>
      </c>
      <c r="AE35" s="690">
        <f t="shared" si="24"/>
        <v>0</v>
      </c>
      <c r="AF35" s="725">
        <f>'Beer Data Sheet'!Z51*$L$8/100</f>
        <v>198.75</v>
      </c>
      <c r="AG35" s="721">
        <f>'Beer Data Sheet'!AD51</f>
        <v>908.8</v>
      </c>
      <c r="AH35" s="2601">
        <f t="shared" si="9"/>
        <v>0.75</v>
      </c>
      <c r="AI35" s="721">
        <f t="shared" si="25"/>
        <v>0</v>
      </c>
      <c r="AJ35" s="690">
        <f t="shared" si="26"/>
        <v>0</v>
      </c>
      <c r="AK35" s="690">
        <f t="shared" si="27"/>
        <v>0</v>
      </c>
      <c r="AL35" s="2601">
        <f t="shared" si="13"/>
        <v>0.75</v>
      </c>
      <c r="AM35" s="721">
        <f t="shared" si="28"/>
        <v>0</v>
      </c>
      <c r="AN35" s="690">
        <f t="shared" si="29"/>
        <v>0</v>
      </c>
      <c r="AO35" s="690">
        <f t="shared" si="30"/>
        <v>0</v>
      </c>
      <c r="AP35" s="2599">
        <f t="shared" si="17"/>
        <v>0.75</v>
      </c>
      <c r="AQ35" s="721">
        <f t="shared" si="31"/>
        <v>0</v>
      </c>
      <c r="AR35" s="690">
        <f t="shared" si="32"/>
        <v>0</v>
      </c>
      <c r="AS35" s="2600">
        <f t="shared" si="33"/>
        <v>0</v>
      </c>
      <c r="AT35" s="877"/>
      <c r="AU35" s="692"/>
      <c r="AV35" s="692"/>
      <c r="AW35" s="626"/>
      <c r="AX35" s="626"/>
      <c r="AY35" s="626"/>
      <c r="AZ35" s="692"/>
      <c r="BA35" s="453"/>
    </row>
    <row r="36" spans="1:53" ht="15.75" customHeight="1">
      <c r="A36" s="5052"/>
      <c r="B36" s="3579" t="str">
        <f>'Beer Data Sheet'!Y52</f>
        <v>Chocolate</v>
      </c>
      <c r="C36" s="2225">
        <v>70</v>
      </c>
      <c r="D36" s="2223">
        <f t="shared" si="38"/>
        <v>70</v>
      </c>
      <c r="E36" s="2224">
        <f t="shared" si="4"/>
        <v>70</v>
      </c>
      <c r="F36" s="670" t="s">
        <v>40</v>
      </c>
      <c r="G36" s="3578" t="str">
        <f>'Beer Data Sheet'!Y19</f>
        <v>Lublin</v>
      </c>
      <c r="H36" s="2683">
        <f>'Beer Data Sheet'!Z19</f>
        <v>3</v>
      </c>
      <c r="I36" s="2974"/>
      <c r="J36" s="2242">
        <f t="shared" si="34"/>
        <v>0</v>
      </c>
      <c r="K36" s="2224">
        <f t="shared" si="35"/>
        <v>0</v>
      </c>
      <c r="L36" s="617"/>
      <c r="M36" s="4034" t="s">
        <v>214</v>
      </c>
      <c r="N36" s="4034"/>
      <c r="O36" s="4034"/>
      <c r="P36" s="4034"/>
      <c r="Q36" s="4034"/>
      <c r="R36" s="453"/>
      <c r="S36" s="617"/>
      <c r="T36" s="617"/>
      <c r="U36" s="617"/>
      <c r="V36" s="2663">
        <v>7</v>
      </c>
      <c r="W36" s="2664">
        <f t="shared" si="36"/>
        <v>5.8333333333333339</v>
      </c>
      <c r="X36" s="2662">
        <f t="shared" si="37"/>
        <v>3.3122250000000002</v>
      </c>
      <c r="Y36" s="2618"/>
      <c r="Z36" s="555"/>
      <c r="AA36" s="555"/>
      <c r="AB36" s="632"/>
      <c r="AC36" s="690">
        <f t="shared" si="22"/>
        <v>0</v>
      </c>
      <c r="AD36" s="690">
        <f t="shared" si="23"/>
        <v>0</v>
      </c>
      <c r="AE36" s="690">
        <f t="shared" si="24"/>
        <v>0</v>
      </c>
      <c r="AF36" s="725">
        <f>'Beer Data Sheet'!Z52*$L$8/100</f>
        <v>198.75</v>
      </c>
      <c r="AG36" s="721">
        <f>'Beer Data Sheet'!AD52</f>
        <v>763.2</v>
      </c>
      <c r="AH36" s="2601">
        <f t="shared" si="9"/>
        <v>0.75</v>
      </c>
      <c r="AI36" s="721">
        <f t="shared" si="25"/>
        <v>13.912500000000001</v>
      </c>
      <c r="AJ36" s="690">
        <f t="shared" si="26"/>
        <v>10.434375000000001</v>
      </c>
      <c r="AK36" s="690">
        <f t="shared" si="27"/>
        <v>534.24</v>
      </c>
      <c r="AL36" s="2601">
        <f t="shared" si="13"/>
        <v>0.75</v>
      </c>
      <c r="AM36" s="721">
        <f t="shared" si="28"/>
        <v>13.912500000000001</v>
      </c>
      <c r="AN36" s="690">
        <f t="shared" si="29"/>
        <v>10.434375000000001</v>
      </c>
      <c r="AO36" s="690">
        <f t="shared" si="30"/>
        <v>534.24</v>
      </c>
      <c r="AP36" s="2599">
        <f t="shared" si="17"/>
        <v>0.75</v>
      </c>
      <c r="AQ36" s="721">
        <f t="shared" si="31"/>
        <v>13.912500000000001</v>
      </c>
      <c r="AR36" s="690">
        <f t="shared" si="32"/>
        <v>10.434375000000001</v>
      </c>
      <c r="AS36" s="2600">
        <f t="shared" si="33"/>
        <v>534.24</v>
      </c>
      <c r="AT36" s="877"/>
      <c r="AU36" s="692"/>
      <c r="AV36" s="692"/>
      <c r="AW36" s="626"/>
      <c r="AX36" s="626"/>
      <c r="AY36" s="626"/>
      <c r="AZ36" s="692"/>
      <c r="BA36" s="453"/>
    </row>
    <row r="37" spans="1:53" ht="15.75" customHeight="1">
      <c r="A37" s="5052"/>
      <c r="B37" s="3579" t="str">
        <f>'Beer Data Sheet'!Y53</f>
        <v>Crystal (light)</v>
      </c>
      <c r="C37" s="2225"/>
      <c r="D37" s="2223">
        <f t="shared" si="38"/>
        <v>0</v>
      </c>
      <c r="E37" s="2224">
        <f t="shared" si="4"/>
        <v>0</v>
      </c>
      <c r="F37" s="670" t="s">
        <v>40</v>
      </c>
      <c r="G37" s="3578" t="str">
        <f>'Beer Data Sheet'!Y20</f>
        <v>Magnum</v>
      </c>
      <c r="H37" s="2683">
        <f>'Beer Data Sheet'!Z20</f>
        <v>13</v>
      </c>
      <c r="I37" s="2974"/>
      <c r="J37" s="2242">
        <f t="shared" si="34"/>
        <v>0</v>
      </c>
      <c r="K37" s="2224">
        <f t="shared" si="35"/>
        <v>0</v>
      </c>
      <c r="L37" s="617"/>
      <c r="M37" s="4971" t="s">
        <v>1776</v>
      </c>
      <c r="N37" s="4971"/>
      <c r="O37" s="4971"/>
      <c r="P37" s="4971"/>
      <c r="Q37" s="4971"/>
      <c r="R37" s="4971"/>
      <c r="S37" s="617"/>
      <c r="T37" s="617"/>
      <c r="U37" s="617"/>
      <c r="V37" s="2663">
        <v>8</v>
      </c>
      <c r="W37" s="2664">
        <f t="shared" si="36"/>
        <v>6.666666666666667</v>
      </c>
      <c r="X37" s="2662">
        <f t="shared" si="37"/>
        <v>3.7854000000000001</v>
      </c>
      <c r="Y37" s="2618"/>
      <c r="Z37" s="555"/>
      <c r="AA37" s="555"/>
      <c r="AB37" s="632"/>
      <c r="AC37" s="690">
        <f t="shared" si="22"/>
        <v>0</v>
      </c>
      <c r="AD37" s="690">
        <f t="shared" si="23"/>
        <v>0</v>
      </c>
      <c r="AE37" s="690">
        <f t="shared" si="24"/>
        <v>0</v>
      </c>
      <c r="AF37" s="725">
        <f>'Beer Data Sheet'!Z53*$L$8/100</f>
        <v>198.75</v>
      </c>
      <c r="AG37" s="721">
        <f>'Beer Data Sheet'!AD53</f>
        <v>77.7</v>
      </c>
      <c r="AH37" s="2601">
        <f t="shared" si="9"/>
        <v>0.75</v>
      </c>
      <c r="AI37" s="721">
        <f t="shared" si="25"/>
        <v>0</v>
      </c>
      <c r="AJ37" s="690">
        <f t="shared" si="26"/>
        <v>0</v>
      </c>
      <c r="AK37" s="690">
        <f t="shared" si="27"/>
        <v>0</v>
      </c>
      <c r="AL37" s="2601">
        <f t="shared" si="13"/>
        <v>0.75</v>
      </c>
      <c r="AM37" s="721">
        <f t="shared" si="28"/>
        <v>0</v>
      </c>
      <c r="AN37" s="690">
        <f t="shared" si="29"/>
        <v>0</v>
      </c>
      <c r="AO37" s="690">
        <f t="shared" si="30"/>
        <v>0</v>
      </c>
      <c r="AP37" s="2599">
        <f t="shared" si="17"/>
        <v>0.75</v>
      </c>
      <c r="AQ37" s="721">
        <f t="shared" si="31"/>
        <v>0</v>
      </c>
      <c r="AR37" s="690">
        <f t="shared" si="32"/>
        <v>0</v>
      </c>
      <c r="AS37" s="2600">
        <f t="shared" si="33"/>
        <v>0</v>
      </c>
      <c r="AT37" s="877"/>
      <c r="AU37" s="692"/>
      <c r="AV37" s="692"/>
      <c r="AW37" s="626"/>
      <c r="AX37" s="626"/>
      <c r="AY37" s="626"/>
      <c r="AZ37" s="692"/>
      <c r="BA37" s="453"/>
    </row>
    <row r="38" spans="1:53" ht="15.75" customHeight="1">
      <c r="A38" s="5052"/>
      <c r="B38" s="3579" t="str">
        <f>'Beer Data Sheet'!Y54</f>
        <v>Crystal (medium)</v>
      </c>
      <c r="C38" s="2225"/>
      <c r="D38" s="2223">
        <f t="shared" si="38"/>
        <v>0</v>
      </c>
      <c r="E38" s="2224">
        <f t="shared" si="4"/>
        <v>0</v>
      </c>
      <c r="F38" s="670" t="s">
        <v>40</v>
      </c>
      <c r="G38" s="3578" t="str">
        <f>'Beer Data Sheet'!Y21</f>
        <v>Northdown</v>
      </c>
      <c r="H38" s="2683">
        <f>'Beer Data Sheet'!Z21</f>
        <v>8</v>
      </c>
      <c r="I38" s="2974"/>
      <c r="J38" s="2242">
        <f t="shared" si="34"/>
        <v>0</v>
      </c>
      <c r="K38" s="2224">
        <f t="shared" si="35"/>
        <v>0</v>
      </c>
      <c r="L38" s="617"/>
      <c r="M38" s="3534"/>
      <c r="N38" s="3534"/>
      <c r="O38" s="3534"/>
      <c r="P38" s="3534"/>
      <c r="Q38" s="3534"/>
      <c r="R38" s="453"/>
      <c r="S38" s="617"/>
      <c r="T38" s="617"/>
      <c r="U38" s="617"/>
      <c r="V38" s="2663">
        <v>9</v>
      </c>
      <c r="W38" s="2664">
        <f t="shared" si="36"/>
        <v>7.5</v>
      </c>
      <c r="X38" s="2662">
        <f t="shared" si="37"/>
        <v>4.2585750000000004</v>
      </c>
      <c r="Y38" s="2618"/>
      <c r="Z38" s="555"/>
      <c r="AA38" s="555"/>
      <c r="AB38" s="632"/>
      <c r="AC38" s="690">
        <f t="shared" si="22"/>
        <v>0</v>
      </c>
      <c r="AD38" s="690">
        <f t="shared" si="23"/>
        <v>0</v>
      </c>
      <c r="AE38" s="690">
        <f t="shared" si="24"/>
        <v>0</v>
      </c>
      <c r="AF38" s="725">
        <f>'Beer Data Sheet'!Z54*$L$8/100</f>
        <v>198.75</v>
      </c>
      <c r="AG38" s="721">
        <f>'Beer Data Sheet'!AD54</f>
        <v>103.6</v>
      </c>
      <c r="AH38" s="2601">
        <f t="shared" si="9"/>
        <v>0.75</v>
      </c>
      <c r="AI38" s="721">
        <f t="shared" si="25"/>
        <v>0</v>
      </c>
      <c r="AJ38" s="690">
        <f t="shared" si="26"/>
        <v>0</v>
      </c>
      <c r="AK38" s="690">
        <f t="shared" si="27"/>
        <v>0</v>
      </c>
      <c r="AL38" s="2601">
        <f t="shared" si="13"/>
        <v>0.75</v>
      </c>
      <c r="AM38" s="721">
        <f t="shared" si="28"/>
        <v>0</v>
      </c>
      <c r="AN38" s="690">
        <f t="shared" si="29"/>
        <v>0</v>
      </c>
      <c r="AO38" s="690">
        <f t="shared" si="30"/>
        <v>0</v>
      </c>
      <c r="AP38" s="2599">
        <f t="shared" si="17"/>
        <v>0.75</v>
      </c>
      <c r="AQ38" s="721">
        <f t="shared" si="31"/>
        <v>0</v>
      </c>
      <c r="AR38" s="690">
        <f t="shared" si="32"/>
        <v>0</v>
      </c>
      <c r="AS38" s="2600">
        <f t="shared" si="33"/>
        <v>0</v>
      </c>
      <c r="AT38" s="877"/>
      <c r="AU38" s="692"/>
      <c r="AV38" s="692"/>
      <c r="AW38" s="626"/>
      <c r="AX38" s="626"/>
      <c r="AY38" s="626"/>
      <c r="AZ38" s="692"/>
      <c r="BA38" s="453"/>
    </row>
    <row r="39" spans="1:53" ht="15.75" customHeight="1">
      <c r="A39" s="5052"/>
      <c r="B39" s="3579" t="str">
        <f>'Beer Data Sheet'!Y55</f>
        <v>Crystal (dark)</v>
      </c>
      <c r="C39" s="2225"/>
      <c r="D39" s="2223">
        <f t="shared" si="38"/>
        <v>0</v>
      </c>
      <c r="E39" s="2224">
        <f t="shared" si="4"/>
        <v>0</v>
      </c>
      <c r="F39" s="670" t="s">
        <v>40</v>
      </c>
      <c r="G39" s="3578" t="str">
        <f>'Beer Data Sheet'!Y22</f>
        <v>Progress</v>
      </c>
      <c r="H39" s="2683">
        <f>'Beer Data Sheet'!Z22</f>
        <v>5</v>
      </c>
      <c r="I39" s="2974"/>
      <c r="J39" s="2242">
        <f t="shared" si="34"/>
        <v>0</v>
      </c>
      <c r="K39" s="2224">
        <f t="shared" si="35"/>
        <v>0</v>
      </c>
      <c r="L39" s="617"/>
      <c r="M39" s="5054" t="s">
        <v>211</v>
      </c>
      <c r="N39" s="5054"/>
      <c r="O39" s="668"/>
      <c r="P39" s="668"/>
      <c r="Q39" s="668"/>
      <c r="R39" s="453"/>
      <c r="S39" s="617"/>
      <c r="T39" s="617"/>
      <c r="U39" s="617"/>
      <c r="V39" s="2663">
        <v>10</v>
      </c>
      <c r="W39" s="2664">
        <f t="shared" si="36"/>
        <v>8.3333333333333339</v>
      </c>
      <c r="X39" s="2662">
        <f t="shared" si="37"/>
        <v>4.7317499999999999</v>
      </c>
      <c r="Y39" s="2618"/>
      <c r="Z39" s="555"/>
      <c r="AA39" s="555"/>
      <c r="AB39" s="632"/>
      <c r="AC39" s="690">
        <f t="shared" si="22"/>
        <v>0</v>
      </c>
      <c r="AD39" s="690">
        <f t="shared" si="23"/>
        <v>0</v>
      </c>
      <c r="AE39" s="690">
        <f t="shared" si="24"/>
        <v>0</v>
      </c>
      <c r="AF39" s="725">
        <f>'Beer Data Sheet'!Z55*$L$8/100</f>
        <v>199.5</v>
      </c>
      <c r="AG39" s="721">
        <f>'Beer Data Sheet'!AD55</f>
        <v>148</v>
      </c>
      <c r="AH39" s="2601">
        <f t="shared" si="9"/>
        <v>0.75</v>
      </c>
      <c r="AI39" s="721">
        <f t="shared" si="25"/>
        <v>0</v>
      </c>
      <c r="AJ39" s="690">
        <f t="shared" si="26"/>
        <v>0</v>
      </c>
      <c r="AK39" s="690">
        <f t="shared" si="27"/>
        <v>0</v>
      </c>
      <c r="AL39" s="2601">
        <f t="shared" si="13"/>
        <v>0.75</v>
      </c>
      <c r="AM39" s="721">
        <f t="shared" si="28"/>
        <v>0</v>
      </c>
      <c r="AN39" s="690">
        <f t="shared" si="29"/>
        <v>0</v>
      </c>
      <c r="AO39" s="690">
        <f t="shared" si="30"/>
        <v>0</v>
      </c>
      <c r="AP39" s="2599">
        <f t="shared" si="17"/>
        <v>0.75</v>
      </c>
      <c r="AQ39" s="721">
        <f t="shared" si="31"/>
        <v>0</v>
      </c>
      <c r="AR39" s="690">
        <f t="shared" si="32"/>
        <v>0</v>
      </c>
      <c r="AS39" s="2600">
        <f t="shared" si="33"/>
        <v>0</v>
      </c>
      <c r="AT39" s="877"/>
      <c r="AU39" s="692"/>
      <c r="AV39" s="692"/>
      <c r="AW39" s="626"/>
      <c r="AX39" s="626"/>
      <c r="AY39" s="626"/>
      <c r="AZ39" s="692"/>
      <c r="BA39" s="453"/>
    </row>
    <row r="40" spans="1:53" ht="15.75" customHeight="1">
      <c r="A40" s="5052"/>
      <c r="B40" s="3579" t="str">
        <f>'Beer Data Sheet'!Y56</f>
        <v>Roast barley</v>
      </c>
      <c r="C40" s="2225">
        <v>350</v>
      </c>
      <c r="D40" s="2223">
        <f t="shared" si="4"/>
        <v>350</v>
      </c>
      <c r="E40" s="2224">
        <v>350</v>
      </c>
      <c r="F40" s="670" t="s">
        <v>40</v>
      </c>
      <c r="G40" s="3578" t="str">
        <f>'Beer Data Sheet'!Y23</f>
        <v>Saaz</v>
      </c>
      <c r="H40" s="2683">
        <f>'Beer Data Sheet'!Z23</f>
        <v>2.2000000000000002</v>
      </c>
      <c r="I40" s="2974"/>
      <c r="J40" s="2242">
        <f t="shared" si="34"/>
        <v>0</v>
      </c>
      <c r="K40" s="2224">
        <f t="shared" si="35"/>
        <v>0</v>
      </c>
      <c r="L40" s="617"/>
      <c r="M40" s="445">
        <v>6.3</v>
      </c>
      <c r="N40" s="5055" t="str">
        <f>"gram ̸ litre is equivalent to "&amp;FIXED(R40*M40,1)&amp;"g in"</f>
        <v>gram ̸ litre is equivalent to 141.8g in</v>
      </c>
      <c r="O40" s="5056"/>
      <c r="P40" s="5056"/>
      <c r="Q40" s="5057"/>
      <c r="R40" s="446">
        <v>22.5</v>
      </c>
      <c r="S40" s="5037" t="s">
        <v>1726</v>
      </c>
      <c r="T40" s="5038"/>
      <c r="U40" s="617"/>
      <c r="V40" s="2663">
        <v>11</v>
      </c>
      <c r="W40" s="2664">
        <f t="shared" si="36"/>
        <v>9.1666666666666679</v>
      </c>
      <c r="X40" s="2662">
        <f t="shared" si="37"/>
        <v>5.2049250000000002</v>
      </c>
      <c r="Y40" s="2618"/>
      <c r="Z40" s="555"/>
      <c r="AA40" s="555"/>
      <c r="AB40" s="632"/>
      <c r="AC40" s="690">
        <f t="shared" si="22"/>
        <v>0</v>
      </c>
      <c r="AD40" s="690">
        <f t="shared" si="23"/>
        <v>0</v>
      </c>
      <c r="AE40" s="690">
        <f t="shared" si="24"/>
        <v>0</v>
      </c>
      <c r="AF40" s="725">
        <f>'Beer Data Sheet'!Z56*$L$8/100</f>
        <v>198.75</v>
      </c>
      <c r="AG40" s="721">
        <f>'Beer Data Sheet'!AD56</f>
        <v>902.8</v>
      </c>
      <c r="AH40" s="2601">
        <f t="shared" si="9"/>
        <v>0.75</v>
      </c>
      <c r="AI40" s="721">
        <f t="shared" si="25"/>
        <v>69.5625</v>
      </c>
      <c r="AJ40" s="690">
        <f t="shared" si="26"/>
        <v>52.171875</v>
      </c>
      <c r="AK40" s="690">
        <f t="shared" si="27"/>
        <v>3159.8</v>
      </c>
      <c r="AL40" s="2601">
        <f t="shared" si="13"/>
        <v>0.75</v>
      </c>
      <c r="AM40" s="721">
        <f t="shared" si="28"/>
        <v>69.5625</v>
      </c>
      <c r="AN40" s="690">
        <f t="shared" si="29"/>
        <v>52.171875</v>
      </c>
      <c r="AO40" s="690">
        <f t="shared" si="30"/>
        <v>3159.8</v>
      </c>
      <c r="AP40" s="2599">
        <f t="shared" si="17"/>
        <v>0.75</v>
      </c>
      <c r="AQ40" s="721">
        <f t="shared" si="31"/>
        <v>69.5625</v>
      </c>
      <c r="AR40" s="690">
        <f t="shared" si="32"/>
        <v>52.171875</v>
      </c>
      <c r="AS40" s="2600">
        <f t="shared" si="33"/>
        <v>3159.8</v>
      </c>
      <c r="AT40" s="877"/>
      <c r="AU40" s="692"/>
      <c r="AV40" s="692"/>
      <c r="AW40" s="626"/>
      <c r="AX40" s="626"/>
      <c r="AY40" s="626"/>
      <c r="AZ40" s="692"/>
      <c r="BA40" s="453"/>
    </row>
    <row r="41" spans="1:53" ht="15.75" customHeight="1">
      <c r="A41" s="5039" t="s">
        <v>143</v>
      </c>
      <c r="B41" s="3580" t="str">
        <f>'Beer Data Sheet'!Y57</f>
        <v>Cane ̸ beet sugar (sucrose)</v>
      </c>
      <c r="C41" s="2225">
        <v>425</v>
      </c>
      <c r="D41" s="2223">
        <f t="shared" si="4"/>
        <v>425</v>
      </c>
      <c r="E41" s="2224">
        <v>450</v>
      </c>
      <c r="F41" s="675" t="s">
        <v>40</v>
      </c>
      <c r="G41" s="3578" t="str">
        <f>'Beer Data Sheet'!Y24</f>
        <v>Styrian Goldings</v>
      </c>
      <c r="H41" s="2683">
        <f>'Beer Data Sheet'!Z24</f>
        <v>5.5</v>
      </c>
      <c r="I41" s="2974"/>
      <c r="J41" s="2242">
        <f t="shared" si="34"/>
        <v>0</v>
      </c>
      <c r="K41" s="2224">
        <f t="shared" si="35"/>
        <v>0</v>
      </c>
      <c r="L41" s="638"/>
      <c r="M41" s="638"/>
      <c r="N41" s="638"/>
      <c r="O41" s="638"/>
      <c r="P41" s="638"/>
      <c r="Q41" s="638"/>
      <c r="R41" s="638"/>
      <c r="S41" s="638"/>
      <c r="T41" s="638"/>
      <c r="U41" s="617"/>
      <c r="V41" s="454"/>
      <c r="W41" s="454"/>
      <c r="X41" s="454"/>
      <c r="Y41" s="2618"/>
      <c r="Z41" s="555"/>
      <c r="AA41" s="555"/>
      <c r="AB41" s="632"/>
      <c r="AC41" s="690">
        <f t="shared" si="22"/>
        <v>0</v>
      </c>
      <c r="AD41" s="690">
        <f t="shared" si="23"/>
        <v>0</v>
      </c>
      <c r="AE41" s="690">
        <f t="shared" si="24"/>
        <v>0</v>
      </c>
      <c r="AF41" s="725">
        <f>'Beer Data Sheet'!Z57</f>
        <v>375</v>
      </c>
      <c r="AG41" s="721">
        <f>'Beer Data Sheet'!AD57</f>
        <v>0</v>
      </c>
      <c r="AH41" s="2601">
        <f>'Beer Data Sheet'!AA57</f>
        <v>1</v>
      </c>
      <c r="AI41" s="721">
        <f t="shared" si="25"/>
        <v>159.375</v>
      </c>
      <c r="AJ41" s="690">
        <f t="shared" si="26"/>
        <v>159.375</v>
      </c>
      <c r="AK41" s="690">
        <f t="shared" si="27"/>
        <v>0</v>
      </c>
      <c r="AL41" s="2601">
        <f>'Beer Data Sheet'!AA57</f>
        <v>1</v>
      </c>
      <c r="AM41" s="721">
        <f t="shared" si="28"/>
        <v>159.375</v>
      </c>
      <c r="AN41" s="690">
        <f t="shared" si="29"/>
        <v>159.375</v>
      </c>
      <c r="AO41" s="690">
        <f t="shared" si="30"/>
        <v>0</v>
      </c>
      <c r="AP41" s="2601">
        <f>'Beer Data Sheet'!AA57</f>
        <v>1</v>
      </c>
      <c r="AQ41" s="721">
        <f t="shared" si="31"/>
        <v>168.75</v>
      </c>
      <c r="AR41" s="690">
        <f t="shared" si="32"/>
        <v>168.75</v>
      </c>
      <c r="AS41" s="2600">
        <f t="shared" si="33"/>
        <v>0</v>
      </c>
      <c r="AT41" s="877"/>
      <c r="AU41" s="692"/>
      <c r="AV41" s="692"/>
      <c r="AW41" s="626"/>
      <c r="AX41" s="626"/>
      <c r="AY41" s="626"/>
      <c r="AZ41" s="692"/>
      <c r="BA41" s="453"/>
    </row>
    <row r="42" spans="1:53" ht="15.75" customHeight="1">
      <c r="A42" s="5039"/>
      <c r="B42" s="3580" t="str">
        <f>'Beer Data Sheet'!Y58</f>
        <v>Brown sugar (light)</v>
      </c>
      <c r="C42" s="2222"/>
      <c r="D42" s="2223">
        <f t="shared" si="4"/>
        <v>0</v>
      </c>
      <c r="E42" s="2224">
        <f t="shared" si="4"/>
        <v>0</v>
      </c>
      <c r="F42" s="675" t="s">
        <v>40</v>
      </c>
      <c r="G42" s="3578" t="str">
        <f>'Beer Data Sheet'!Y25</f>
        <v>Target</v>
      </c>
      <c r="H42" s="2683">
        <f>'Beer Data Sheet'!Z25</f>
        <v>11.2</v>
      </c>
      <c r="I42" s="2974">
        <v>36</v>
      </c>
      <c r="J42" s="2242">
        <f t="shared" si="34"/>
        <v>36</v>
      </c>
      <c r="K42" s="2224">
        <f t="shared" si="35"/>
        <v>36</v>
      </c>
      <c r="L42" s="638"/>
      <c r="M42" s="1667" t="s">
        <v>218</v>
      </c>
      <c r="N42" s="5042" t="s">
        <v>219</v>
      </c>
      <c r="O42" s="5043"/>
      <c r="P42" s="5044" t="s">
        <v>1807</v>
      </c>
      <c r="Q42" s="5045"/>
      <c r="R42" s="453"/>
      <c r="S42" s="617"/>
      <c r="T42" s="617"/>
      <c r="U42" s="617"/>
      <c r="V42" s="454"/>
      <c r="W42" s="454"/>
      <c r="X42" s="454"/>
      <c r="Y42" s="555"/>
      <c r="Z42" s="555"/>
      <c r="AA42" s="555"/>
      <c r="AB42" s="632"/>
      <c r="AC42" s="690">
        <f t="shared" si="22"/>
        <v>806.4</v>
      </c>
      <c r="AD42" s="690">
        <f t="shared" si="23"/>
        <v>806.4</v>
      </c>
      <c r="AE42" s="690">
        <f t="shared" si="24"/>
        <v>806.4</v>
      </c>
      <c r="AF42" s="725">
        <f>'Beer Data Sheet'!Z58</f>
        <v>370</v>
      </c>
      <c r="AG42" s="721">
        <f>'Beer Data Sheet'!AD58</f>
        <v>16</v>
      </c>
      <c r="AH42" s="2601">
        <f>'Beer Data Sheet'!AA58</f>
        <v>1</v>
      </c>
      <c r="AI42" s="721">
        <f t="shared" si="25"/>
        <v>0</v>
      </c>
      <c r="AJ42" s="690">
        <f t="shared" si="26"/>
        <v>0</v>
      </c>
      <c r="AK42" s="690">
        <f t="shared" si="27"/>
        <v>0</v>
      </c>
      <c r="AL42" s="2601">
        <f>'Beer Data Sheet'!AA58</f>
        <v>1</v>
      </c>
      <c r="AM42" s="721">
        <f t="shared" si="28"/>
        <v>0</v>
      </c>
      <c r="AN42" s="690">
        <f t="shared" si="29"/>
        <v>0</v>
      </c>
      <c r="AO42" s="690">
        <f t="shared" si="30"/>
        <v>0</v>
      </c>
      <c r="AP42" s="2601">
        <f>'Beer Data Sheet'!AA58</f>
        <v>1</v>
      </c>
      <c r="AQ42" s="721">
        <f t="shared" si="31"/>
        <v>0</v>
      </c>
      <c r="AR42" s="690">
        <f t="shared" si="32"/>
        <v>0</v>
      </c>
      <c r="AS42" s="2600">
        <f t="shared" si="33"/>
        <v>0</v>
      </c>
      <c r="AT42" s="877"/>
      <c r="AU42" s="692"/>
      <c r="AV42" s="692"/>
      <c r="AW42" s="626"/>
      <c r="AX42" s="626"/>
      <c r="AY42" s="626"/>
      <c r="AZ42" s="692"/>
      <c r="BA42" s="453"/>
    </row>
    <row r="43" spans="1:53" ht="15.75" customHeight="1">
      <c r="A43" s="5039"/>
      <c r="B43" s="3580" t="str">
        <f>'Beer Data Sheet'!Y59</f>
        <v>Brown sugar (medium)</v>
      </c>
      <c r="C43" s="2222"/>
      <c r="D43" s="2223">
        <f t="shared" ref="D43:E45" si="39">C43</f>
        <v>0</v>
      </c>
      <c r="E43" s="2224">
        <f t="shared" si="39"/>
        <v>0</v>
      </c>
      <c r="F43" s="675" t="s">
        <v>40</v>
      </c>
      <c r="G43" s="3578" t="str">
        <f>'Beer Data Sheet'!Y26</f>
        <v>WGV</v>
      </c>
      <c r="H43" s="2683">
        <f>'Beer Data Sheet'!Z26</f>
        <v>6.3</v>
      </c>
      <c r="I43" s="2974"/>
      <c r="J43" s="2242">
        <f t="shared" si="34"/>
        <v>0</v>
      </c>
      <c r="K43" s="2224">
        <f t="shared" si="35"/>
        <v>0</v>
      </c>
      <c r="L43" s="453"/>
      <c r="M43" s="679">
        <f>N43*0.2489/0.262</f>
        <v>0.95</v>
      </c>
      <c r="N43" s="5046">
        <v>1</v>
      </c>
      <c r="O43" s="5047"/>
      <c r="P43" s="5048">
        <f>N43*0.262/0.2489</f>
        <v>1.0526315789473684</v>
      </c>
      <c r="Q43" s="5049"/>
      <c r="R43" s="453"/>
      <c r="S43" s="617"/>
      <c r="T43" s="617"/>
      <c r="U43" s="617"/>
      <c r="V43" s="2611" t="s">
        <v>123</v>
      </c>
      <c r="W43" s="2611"/>
      <c r="X43" s="2611"/>
      <c r="Y43" s="555"/>
      <c r="Z43" s="555"/>
      <c r="AA43" s="555"/>
      <c r="AB43" s="632"/>
      <c r="AC43" s="690">
        <f t="shared" si="22"/>
        <v>0</v>
      </c>
      <c r="AD43" s="690">
        <f t="shared" si="23"/>
        <v>0</v>
      </c>
      <c r="AE43" s="690">
        <f t="shared" si="24"/>
        <v>0</v>
      </c>
      <c r="AF43" s="725">
        <f>'Beer Data Sheet'!Z59</f>
        <v>370</v>
      </c>
      <c r="AG43" s="721">
        <f>'Beer Data Sheet'!AD59</f>
        <v>45</v>
      </c>
      <c r="AH43" s="2601">
        <f>'Beer Data Sheet'!AA59</f>
        <v>1</v>
      </c>
      <c r="AI43" s="721">
        <f t="shared" si="25"/>
        <v>0</v>
      </c>
      <c r="AJ43" s="690">
        <f t="shared" si="26"/>
        <v>0</v>
      </c>
      <c r="AK43" s="690">
        <f t="shared" si="27"/>
        <v>0</v>
      </c>
      <c r="AL43" s="2601">
        <f>'Beer Data Sheet'!AA59</f>
        <v>1</v>
      </c>
      <c r="AM43" s="721">
        <f t="shared" si="28"/>
        <v>0</v>
      </c>
      <c r="AN43" s="690">
        <f t="shared" si="29"/>
        <v>0</v>
      </c>
      <c r="AO43" s="690">
        <f t="shared" si="30"/>
        <v>0</v>
      </c>
      <c r="AP43" s="2601">
        <f>'Beer Data Sheet'!AA59</f>
        <v>1</v>
      </c>
      <c r="AQ43" s="721">
        <f t="shared" si="31"/>
        <v>0</v>
      </c>
      <c r="AR43" s="690">
        <f t="shared" si="32"/>
        <v>0</v>
      </c>
      <c r="AS43" s="2600">
        <f t="shared" si="33"/>
        <v>0</v>
      </c>
      <c r="AT43" s="877"/>
      <c r="AU43" s="692"/>
      <c r="AV43" s="692"/>
      <c r="AW43" s="626"/>
      <c r="AX43" s="626"/>
      <c r="AY43" s="626"/>
      <c r="AZ43" s="692"/>
      <c r="BA43" s="453"/>
    </row>
    <row r="44" spans="1:53" ht="15.75" customHeight="1">
      <c r="A44" s="5040"/>
      <c r="B44" s="3580" t="str">
        <f>'Beer Data Sheet'!Y60</f>
        <v>Brewing sugar</v>
      </c>
      <c r="C44" s="2226"/>
      <c r="D44" s="2223">
        <f t="shared" si="39"/>
        <v>0</v>
      </c>
      <c r="E44" s="2224">
        <f t="shared" si="39"/>
        <v>0</v>
      </c>
      <c r="F44" s="675" t="s">
        <v>40</v>
      </c>
      <c r="G44" s="3578" t="str">
        <f>'Beer Data Sheet'!Y27</f>
        <v xml:space="preserve">Other </v>
      </c>
      <c r="H44" s="2683">
        <f>'Beer Data Sheet'!Z27</f>
        <v>0</v>
      </c>
      <c r="I44" s="2974"/>
      <c r="J44" s="2242">
        <f t="shared" si="34"/>
        <v>0</v>
      </c>
      <c r="K44" s="2224">
        <f t="shared" si="35"/>
        <v>0</v>
      </c>
      <c r="L44" s="453"/>
      <c r="M44" s="453"/>
      <c r="N44" s="453"/>
      <c r="O44" s="453"/>
      <c r="P44" s="453"/>
      <c r="Q44" s="520"/>
      <c r="R44" s="453"/>
      <c r="S44" s="617"/>
      <c r="T44" s="617"/>
      <c r="U44" s="617"/>
      <c r="V44" s="673" t="s">
        <v>676</v>
      </c>
      <c r="W44" s="674" t="s">
        <v>125</v>
      </c>
      <c r="X44" s="2861" t="s">
        <v>61</v>
      </c>
      <c r="Y44" s="617"/>
      <c r="Z44" s="555"/>
      <c r="AA44" s="555"/>
      <c r="AB44" s="632"/>
      <c r="AC44" s="690">
        <f t="shared" si="22"/>
        <v>0</v>
      </c>
      <c r="AD44" s="690">
        <f t="shared" si="23"/>
        <v>0</v>
      </c>
      <c r="AE44" s="690">
        <f t="shared" si="24"/>
        <v>0</v>
      </c>
      <c r="AF44" s="725">
        <f>'Beer Data Sheet'!Z60</f>
        <v>360</v>
      </c>
      <c r="AG44" s="721">
        <f>'Beer Data Sheet'!AD60</f>
        <v>0</v>
      </c>
      <c r="AH44" s="2601">
        <f>'Beer Data Sheet'!AA60</f>
        <v>0.95</v>
      </c>
      <c r="AI44" s="721">
        <f t="shared" si="25"/>
        <v>0</v>
      </c>
      <c r="AJ44" s="690">
        <f t="shared" si="26"/>
        <v>0</v>
      </c>
      <c r="AK44" s="690">
        <f t="shared" si="27"/>
        <v>0</v>
      </c>
      <c r="AL44" s="2601">
        <f>'Beer Data Sheet'!AA60</f>
        <v>0.95</v>
      </c>
      <c r="AM44" s="721">
        <f t="shared" si="28"/>
        <v>0</v>
      </c>
      <c r="AN44" s="690">
        <f t="shared" si="29"/>
        <v>0</v>
      </c>
      <c r="AO44" s="690">
        <f t="shared" si="30"/>
        <v>0</v>
      </c>
      <c r="AP44" s="2601">
        <f>'Beer Data Sheet'!AA60</f>
        <v>0.95</v>
      </c>
      <c r="AQ44" s="721">
        <f t="shared" si="31"/>
        <v>0</v>
      </c>
      <c r="AR44" s="690">
        <f t="shared" si="32"/>
        <v>0</v>
      </c>
      <c r="AS44" s="2600">
        <f t="shared" si="33"/>
        <v>0</v>
      </c>
      <c r="AT44" s="877"/>
      <c r="AU44" s="692"/>
      <c r="AV44" s="692"/>
      <c r="AW44" s="626"/>
      <c r="AX44" s="626"/>
      <c r="AY44" s="626"/>
      <c r="AZ44" s="692"/>
      <c r="BA44" s="453"/>
    </row>
    <row r="45" spans="1:53" ht="15.75" customHeight="1">
      <c r="A45" s="5041"/>
      <c r="B45" s="3580" t="str">
        <f>'Beer Data Sheet'!Y61</f>
        <v>Lactose (non-fermentable sugar, no boil)</v>
      </c>
      <c r="C45" s="2227"/>
      <c r="D45" s="2223">
        <f t="shared" si="39"/>
        <v>0</v>
      </c>
      <c r="E45" s="2224">
        <f t="shared" si="39"/>
        <v>0</v>
      </c>
      <c r="F45" s="678" t="s">
        <v>40</v>
      </c>
      <c r="G45" s="3578" t="str">
        <f>'Beer Data Sheet'!Y28</f>
        <v xml:space="preserve">Other </v>
      </c>
      <c r="H45" s="2683">
        <f>'Beer Data Sheet'!Z28</f>
        <v>0</v>
      </c>
      <c r="I45" s="2974"/>
      <c r="J45" s="2242">
        <f t="shared" si="34"/>
        <v>0</v>
      </c>
      <c r="K45" s="2224">
        <f t="shared" si="35"/>
        <v>0</v>
      </c>
      <c r="L45" s="453"/>
      <c r="M45" s="4609" t="s">
        <v>1762</v>
      </c>
      <c r="N45" s="4609"/>
      <c r="O45" s="453"/>
      <c r="P45" s="453"/>
      <c r="Q45" s="453"/>
      <c r="R45" s="453"/>
      <c r="S45" s="453"/>
      <c r="T45" s="453"/>
      <c r="U45" s="617"/>
      <c r="V45" s="676"/>
      <c r="W45" s="677">
        <v>8</v>
      </c>
      <c r="X45" s="870">
        <f t="shared" ref="X45:X54" si="40">1000*(V45+W45/16)*0.4536</f>
        <v>226.8</v>
      </c>
      <c r="Y45" s="555"/>
      <c r="Z45" s="555"/>
      <c r="AA45" s="555"/>
      <c r="AB45" s="632"/>
      <c r="AC45" s="690">
        <f t="shared" si="22"/>
        <v>0</v>
      </c>
      <c r="AD45" s="690">
        <f t="shared" si="23"/>
        <v>0</v>
      </c>
      <c r="AE45" s="690">
        <f t="shared" si="24"/>
        <v>0</v>
      </c>
      <c r="AF45" s="725">
        <f>'Beer Data Sheet'!Z61</f>
        <v>380</v>
      </c>
      <c r="AG45" s="721">
        <f>'Beer Data Sheet'!AD61</f>
        <v>30</v>
      </c>
      <c r="AH45" s="2601">
        <f>'Beer Data Sheet'!AA61</f>
        <v>0</v>
      </c>
      <c r="AI45" s="721">
        <f t="shared" si="25"/>
        <v>0</v>
      </c>
      <c r="AJ45" s="690">
        <f t="shared" si="26"/>
        <v>0</v>
      </c>
      <c r="AK45" s="690">
        <f t="shared" si="27"/>
        <v>0</v>
      </c>
      <c r="AL45" s="2601">
        <f>'Beer Data Sheet'!AA61</f>
        <v>0</v>
      </c>
      <c r="AM45" s="721">
        <f t="shared" si="28"/>
        <v>0</v>
      </c>
      <c r="AN45" s="690">
        <f t="shared" si="29"/>
        <v>0</v>
      </c>
      <c r="AO45" s="690">
        <f t="shared" si="30"/>
        <v>0</v>
      </c>
      <c r="AP45" s="2601">
        <f>'Beer Data Sheet'!AA61</f>
        <v>0</v>
      </c>
      <c r="AQ45" s="721">
        <f t="shared" si="31"/>
        <v>0</v>
      </c>
      <c r="AR45" s="690">
        <f t="shared" si="32"/>
        <v>0</v>
      </c>
      <c r="AS45" s="2600">
        <f t="shared" si="33"/>
        <v>0</v>
      </c>
      <c r="AT45" s="877"/>
      <c r="AU45" s="692"/>
      <c r="AV45" s="692"/>
      <c r="AW45" s="626"/>
      <c r="AX45" s="626"/>
      <c r="AY45" s="626"/>
      <c r="AZ45" s="692"/>
      <c r="BA45" s="453"/>
    </row>
    <row r="46" spans="1:53" ht="15.75" customHeight="1">
      <c r="A46" s="617"/>
      <c r="B46" s="3345" t="s">
        <v>677</v>
      </c>
      <c r="C46" s="3346">
        <f>C23*C47+($AF$41*C41*AH41+$AF$42*C42*AH42+$AF$43*C43*AH43+$AF$44*C44*AH44)/375</f>
        <v>497.45</v>
      </c>
      <c r="D46" s="2728">
        <f>D23*D47+($AF$41*D41*AL41+$AF$42*D42*AL42+$AF$43*D43*AL43+$AF$44*D44*AL44)/375</f>
        <v>497.45</v>
      </c>
      <c r="E46" s="2728">
        <f>E23*E47+($AF$41*E41*AP41+$AF$42*E42*AP42+$AF$43*E43*AP43+$AF$44*E44*AP44)/375</f>
        <v>522.45000000000005</v>
      </c>
      <c r="F46" s="780" t="s">
        <v>40</v>
      </c>
      <c r="G46" s="3578" t="str">
        <f>'Beer Data Sheet'!Y29</f>
        <v xml:space="preserve">Other </v>
      </c>
      <c r="H46" s="2683">
        <f>'Beer Data Sheet'!Z29</f>
        <v>0</v>
      </c>
      <c r="I46" s="2974"/>
      <c r="J46" s="2242">
        <f t="shared" si="34"/>
        <v>0</v>
      </c>
      <c r="K46" s="2224">
        <f t="shared" si="35"/>
        <v>0</v>
      </c>
      <c r="L46" s="453"/>
      <c r="M46" s="5058" t="s">
        <v>1873</v>
      </c>
      <c r="N46" s="5058"/>
      <c r="O46" s="5058"/>
      <c r="P46" s="5058"/>
      <c r="Q46" s="5058"/>
      <c r="R46" s="5058"/>
      <c r="S46" s="5058"/>
      <c r="T46" s="5058"/>
      <c r="U46" s="617"/>
      <c r="V46" s="676">
        <v>1</v>
      </c>
      <c r="W46" s="677">
        <v>8</v>
      </c>
      <c r="X46" s="870">
        <f t="shared" si="40"/>
        <v>680.4</v>
      </c>
      <c r="Y46" s="555"/>
      <c r="Z46" s="555"/>
      <c r="AA46" s="555"/>
      <c r="AB46" s="632"/>
      <c r="AC46" s="690">
        <f t="shared" si="22"/>
        <v>0</v>
      </c>
      <c r="AD46" s="690">
        <f t="shared" si="23"/>
        <v>0</v>
      </c>
      <c r="AE46" s="690">
        <f t="shared" si="24"/>
        <v>0</v>
      </c>
      <c r="AF46" s="2602"/>
      <c r="AG46" s="692"/>
      <c r="AH46" s="2602"/>
      <c r="AI46" s="721"/>
      <c r="AJ46" s="690"/>
      <c r="AK46" s="691"/>
      <c r="AL46" s="2602"/>
      <c r="AM46" s="721"/>
      <c r="AN46" s="690"/>
      <c r="AO46" s="691"/>
      <c r="AP46" s="2602"/>
      <c r="AQ46" s="2603"/>
      <c r="AR46" s="2604"/>
      <c r="AS46" s="2604"/>
      <c r="AT46" s="877"/>
      <c r="AU46" s="692"/>
      <c r="AV46" s="692"/>
      <c r="AW46" s="626"/>
      <c r="AX46" s="626"/>
      <c r="AY46" s="626"/>
      <c r="AZ46" s="692"/>
      <c r="BA46" s="453"/>
    </row>
    <row r="47" spans="1:53" ht="15.75" customHeight="1">
      <c r="A47" s="617"/>
      <c r="B47" s="3182" t="str">
        <f>"Priming sugar (sucrose) g/litre, 1 level tsp  = "&amp;'Beer Data Sheet'!O$20&amp;"g)"</f>
        <v>Priming sugar (sucrose) g/litre, 1 level tsp  = 3.15g)</v>
      </c>
      <c r="C47" s="3347">
        <v>3.15</v>
      </c>
      <c r="D47" s="2228">
        <f>C47</f>
        <v>3.15</v>
      </c>
      <c r="E47" s="2229">
        <f>D47</f>
        <v>3.15</v>
      </c>
      <c r="F47" s="3348" t="str">
        <f>"g = "&amp;FIXED(E47/'Beer Data Sheet'!$O$20)&amp;" tsp."</f>
        <v>g = 1.00 tsp.</v>
      </c>
      <c r="G47" s="3578" t="str">
        <f>'Beer Data Sheet'!Y30</f>
        <v xml:space="preserve">Other </v>
      </c>
      <c r="H47" s="2683">
        <f>'Beer Data Sheet'!Z30</f>
        <v>0</v>
      </c>
      <c r="I47" s="2974"/>
      <c r="J47" s="2242">
        <f t="shared" si="34"/>
        <v>0</v>
      </c>
      <c r="K47" s="2224">
        <f t="shared" si="35"/>
        <v>0</v>
      </c>
      <c r="L47" s="453"/>
      <c r="M47" s="5058"/>
      <c r="N47" s="5058"/>
      <c r="O47" s="5058"/>
      <c r="P47" s="5058"/>
      <c r="Q47" s="5058"/>
      <c r="R47" s="5058"/>
      <c r="S47" s="5058"/>
      <c r="T47" s="5058"/>
      <c r="U47" s="617"/>
      <c r="V47" s="676">
        <v>2</v>
      </c>
      <c r="W47" s="677"/>
      <c r="X47" s="870">
        <f t="shared" si="40"/>
        <v>907.2</v>
      </c>
      <c r="Y47" s="555"/>
      <c r="Z47" s="555"/>
      <c r="AA47" s="555"/>
      <c r="AB47" s="632"/>
      <c r="AC47" s="690">
        <f t="shared" si="22"/>
        <v>0</v>
      </c>
      <c r="AD47" s="690">
        <f t="shared" si="23"/>
        <v>0</v>
      </c>
      <c r="AE47" s="690">
        <f t="shared" si="24"/>
        <v>0</v>
      </c>
      <c r="AF47" s="626"/>
      <c r="AG47" s="692"/>
      <c r="AH47" s="691"/>
      <c r="AI47" s="2603"/>
      <c r="AJ47" s="695">
        <f>0.001*375*C23*C47</f>
        <v>27.168749999999999</v>
      </c>
      <c r="AK47" s="691"/>
      <c r="AL47" s="691"/>
      <c r="AM47" s="2603"/>
      <c r="AN47" s="695">
        <f>0.001*375*D23*D47</f>
        <v>27.168749999999999</v>
      </c>
      <c r="AO47" s="691"/>
      <c r="AP47" s="691"/>
      <c r="AQ47" s="2603"/>
      <c r="AR47" s="695">
        <f>0.001*375*E23*E47</f>
        <v>27.168749999999999</v>
      </c>
      <c r="AS47" s="690"/>
      <c r="AT47" s="877"/>
      <c r="AU47" s="692"/>
      <c r="AV47" s="692"/>
      <c r="AW47" s="626"/>
      <c r="AX47" s="626"/>
      <c r="AY47" s="626"/>
      <c r="AZ47" s="692"/>
      <c r="BA47" s="453"/>
    </row>
    <row r="48" spans="1:53" ht="15.75" customHeight="1">
      <c r="A48" s="617"/>
      <c r="B48" s="2491" t="s">
        <v>1757</v>
      </c>
      <c r="C48" s="2230">
        <f>C47*'Beer Data Sheet'!AF$3+VLOOKUP(L9,'Beer Data Sheet'!AE6:AF49,2)</f>
        <v>1.7022631578947367</v>
      </c>
      <c r="D48" s="2231">
        <f>D47*'Beer Data Sheet'!AF$3+VLOOKUP(L9,'Beer Data Sheet'!AE6:AF49,2)</f>
        <v>1.7022631578947367</v>
      </c>
      <c r="E48" s="2232">
        <f>E47*'Beer Data Sheet'!AF$3+VLOOKUP(L9,'Beer Data Sheet'!AE6:AF49,2)</f>
        <v>1.7022631578947367</v>
      </c>
      <c r="F48" s="681" t="s">
        <v>678</v>
      </c>
      <c r="G48" s="3578" t="str">
        <f>'Beer Data Sheet'!Y31</f>
        <v xml:space="preserve">Other </v>
      </c>
      <c r="H48" s="2683">
        <f>'Beer Data Sheet'!Z31</f>
        <v>0</v>
      </c>
      <c r="I48" s="2974"/>
      <c r="J48" s="2242">
        <f t="shared" si="34"/>
        <v>0</v>
      </c>
      <c r="K48" s="2224">
        <f t="shared" si="35"/>
        <v>0</v>
      </c>
      <c r="L48" s="453"/>
      <c r="M48" s="453"/>
      <c r="N48" s="453"/>
      <c r="O48" s="453"/>
      <c r="P48" s="453"/>
      <c r="Q48" s="453"/>
      <c r="R48" s="453"/>
      <c r="S48" s="453"/>
      <c r="T48" s="453"/>
      <c r="U48" s="617"/>
      <c r="V48" s="676">
        <v>2</v>
      </c>
      <c r="W48" s="677">
        <v>8</v>
      </c>
      <c r="X48" s="870">
        <f t="shared" si="40"/>
        <v>1134</v>
      </c>
      <c r="Y48" s="555"/>
      <c r="Z48" s="555"/>
      <c r="AA48" s="555"/>
      <c r="AB48" s="632"/>
      <c r="AC48" s="690">
        <f t="shared" si="22"/>
        <v>0</v>
      </c>
      <c r="AD48" s="690">
        <f t="shared" si="23"/>
        <v>0</v>
      </c>
      <c r="AE48" s="690">
        <f t="shared" si="24"/>
        <v>0</v>
      </c>
      <c r="AF48" s="626"/>
      <c r="AG48" s="692"/>
      <c r="AH48" s="690"/>
      <c r="AI48" s="690"/>
      <c r="AJ48" s="690"/>
      <c r="AK48" s="691"/>
      <c r="AL48" s="691"/>
      <c r="AM48" s="721"/>
      <c r="AN48" s="695"/>
      <c r="AO48" s="721"/>
      <c r="AP48" s="721"/>
      <c r="AQ48" s="721"/>
      <c r="AR48" s="695"/>
      <c r="AS48" s="690"/>
      <c r="AT48" s="877"/>
      <c r="AU48" s="692"/>
      <c r="AV48" s="692"/>
      <c r="AW48" s="626"/>
      <c r="AX48" s="626"/>
      <c r="AY48" s="626"/>
      <c r="AZ48" s="692"/>
      <c r="BA48" s="453"/>
    </row>
    <row r="49" spans="1:53" ht="15.75" customHeight="1">
      <c r="A49" s="617"/>
      <c r="B49" s="2191" t="s">
        <v>679</v>
      </c>
      <c r="C49" s="2427">
        <v>75</v>
      </c>
      <c r="D49" s="2428">
        <f>C49</f>
        <v>75</v>
      </c>
      <c r="E49" s="2233">
        <f>C49</f>
        <v>75</v>
      </c>
      <c r="F49" s="3382" t="s">
        <v>680</v>
      </c>
      <c r="G49" s="3344" t="s">
        <v>681</v>
      </c>
      <c r="H49" s="2975" t="s">
        <v>682</v>
      </c>
      <c r="I49" s="2976"/>
      <c r="J49" s="2977"/>
      <c r="K49" s="2978"/>
      <c r="L49" s="5059" t="str">
        <f>"ml = "&amp;FIXED(I49/5,2)&amp;"  ̸  "&amp;FIXED(J49/5,2)&amp;"  ̸  "&amp;FIXED(K49/5,2)&amp;" tsp (1 tsp = 5ml)"</f>
        <v>ml = 0.00  ̸  0.00  ̸  0.00 tsp (1 tsp = 5ml)</v>
      </c>
      <c r="M49" s="5059"/>
      <c r="N49" s="5059"/>
      <c r="O49" s="5059"/>
      <c r="P49" s="846"/>
      <c r="Q49" s="846"/>
      <c r="R49" s="846"/>
      <c r="S49" s="846"/>
      <c r="T49" s="846"/>
      <c r="U49" s="617"/>
      <c r="V49" s="676">
        <v>2</v>
      </c>
      <c r="W49" s="677"/>
      <c r="X49" s="870">
        <f t="shared" si="40"/>
        <v>907.2</v>
      </c>
      <c r="Y49" s="555"/>
      <c r="Z49" s="555"/>
      <c r="AA49" s="555"/>
      <c r="AB49" s="632"/>
      <c r="AC49" s="690">
        <f>SUM(AC26:AC48)</f>
        <v>806.4</v>
      </c>
      <c r="AD49" s="690">
        <f>SUM(AD26:AD48)</f>
        <v>806.4</v>
      </c>
      <c r="AE49" s="690">
        <f>SUM(AE26:AE48)</f>
        <v>806.4</v>
      </c>
      <c r="AF49" s="690"/>
      <c r="AG49" s="690"/>
      <c r="AH49" s="692"/>
      <c r="AI49" s="693" t="s">
        <v>683</v>
      </c>
      <c r="AJ49" s="695">
        <f>SUM(AJ25:AJ40)/(C23)</f>
        <v>21.726358695652173</v>
      </c>
      <c r="AK49" s="690"/>
      <c r="AL49" s="690"/>
      <c r="AM49" s="690" t="s">
        <v>684</v>
      </c>
      <c r="AN49" s="695">
        <f>SUM(AN26:AN40)/(D23)</f>
        <v>21.726358695652173</v>
      </c>
      <c r="AO49" s="690"/>
      <c r="AP49" s="690"/>
      <c r="AQ49" s="690" t="s">
        <v>684</v>
      </c>
      <c r="AR49" s="695">
        <f>SUM(AR26:AR40)/(E23)</f>
        <v>20.575271739130436</v>
      </c>
      <c r="AS49" s="696"/>
      <c r="AT49" s="877"/>
      <c r="AU49" s="692"/>
      <c r="AV49" s="692"/>
      <c r="AW49" s="626"/>
      <c r="AX49" s="626"/>
      <c r="AY49" s="626"/>
      <c r="AZ49" s="692"/>
      <c r="BA49" s="453"/>
    </row>
    <row r="50" spans="1:53" ht="15.75" customHeight="1">
      <c r="A50" s="682"/>
      <c r="B50" s="2192" t="s">
        <v>1714</v>
      </c>
      <c r="C50" s="2429" t="str">
        <f>FIXED((100*(1-(AJ56/AJ55))),1)&amp;"%"</f>
        <v>81.4%</v>
      </c>
      <c r="D50" s="2430" t="str">
        <f>FIXED((100*(1-(AN56/AN55))),1)&amp;"%"</f>
        <v>81.4%</v>
      </c>
      <c r="E50" s="2339" t="str">
        <f>FIXED((100*(1-(AR56/AR55))),1)&amp;"%"</f>
        <v>81.9%</v>
      </c>
      <c r="F50" s="686"/>
      <c r="G50" s="5060" t="s">
        <v>1793</v>
      </c>
      <c r="H50" s="5060"/>
      <c r="I50" s="5060"/>
      <c r="J50" s="5060"/>
      <c r="K50" s="5060"/>
      <c r="L50" s="2714"/>
      <c r="M50" s="686"/>
      <c r="N50" s="686"/>
      <c r="O50" s="686"/>
      <c r="P50" s="686"/>
      <c r="Q50" s="686"/>
      <c r="R50" s="686"/>
      <c r="S50" s="686"/>
      <c r="T50" s="686"/>
      <c r="U50" s="686"/>
      <c r="V50" s="676">
        <v>4.25</v>
      </c>
      <c r="W50" s="677"/>
      <c r="X50" s="870">
        <f t="shared" si="40"/>
        <v>1927.8</v>
      </c>
      <c r="Y50" s="555"/>
      <c r="Z50" s="555"/>
      <c r="AA50" s="555"/>
      <c r="AB50" s="632"/>
      <c r="AC50" s="690"/>
      <c r="AD50" s="690"/>
      <c r="AE50" s="690"/>
      <c r="AF50" s="690"/>
      <c r="AG50" s="690"/>
      <c r="AH50" s="692"/>
      <c r="AI50" s="693"/>
      <c r="AJ50" s="695"/>
      <c r="AK50" s="690"/>
      <c r="AL50" s="690"/>
      <c r="AM50" s="690"/>
      <c r="AN50" s="696"/>
      <c r="AO50" s="690"/>
      <c r="AP50" s="690"/>
      <c r="AQ50" s="690"/>
      <c r="AR50" s="695"/>
      <c r="AS50" s="696"/>
      <c r="AT50" s="878"/>
      <c r="AU50" s="692"/>
      <c r="AV50" s="692"/>
      <c r="AW50" s="626"/>
      <c r="AX50" s="626"/>
      <c r="AY50" s="626"/>
      <c r="AZ50" s="692"/>
      <c r="BA50" s="453"/>
    </row>
    <row r="51" spans="1:53" ht="15.75" customHeight="1">
      <c r="A51" s="682"/>
      <c r="B51" s="2189" t="s">
        <v>1746</v>
      </c>
      <c r="C51" s="2429" t="str">
        <f>FIXED(100*(1-(((0.1808*AJ55)+(0.8192*AJ56))/AJ55)),1)&amp;"%"</f>
        <v>66.6%</v>
      </c>
      <c r="D51" s="2430" t="str">
        <f>FIXED(100*(1-(((0.1808*AN55)+(0.8192*AN56))/AN55)),1)&amp;"%"</f>
        <v>66.6%</v>
      </c>
      <c r="E51" s="2713" t="str">
        <f>FIXED(100*(1-(((0.1808*AR55)+(0.8192*AR56))/AR55)),1)&amp;"%"</f>
        <v>67.1%</v>
      </c>
      <c r="F51" s="686"/>
      <c r="G51" s="686"/>
      <c r="H51" s="686"/>
      <c r="I51" s="686"/>
      <c r="J51" s="686"/>
      <c r="K51" s="686"/>
      <c r="L51" s="686"/>
      <c r="M51" s="686"/>
      <c r="N51" s="686"/>
      <c r="O51" s="686"/>
      <c r="P51" s="686"/>
      <c r="Q51" s="686"/>
      <c r="R51" s="686"/>
      <c r="S51" s="686"/>
      <c r="T51" s="686"/>
      <c r="U51" s="686"/>
      <c r="V51" s="2185">
        <v>6</v>
      </c>
      <c r="W51" s="2186"/>
      <c r="X51" s="2187">
        <f t="shared" si="40"/>
        <v>2721.6</v>
      </c>
      <c r="Y51" s="555"/>
      <c r="Z51" s="555"/>
      <c r="AA51" s="555"/>
      <c r="AB51" s="632"/>
      <c r="AC51" s="697">
        <v>789.4</v>
      </c>
      <c r="AD51" s="697">
        <v>7.01</v>
      </c>
      <c r="AE51" s="697">
        <v>3.85</v>
      </c>
      <c r="AF51" s="690"/>
      <c r="AG51" s="690"/>
      <c r="AH51" s="692"/>
      <c r="AI51" s="693"/>
      <c r="AJ51" s="692"/>
      <c r="AK51" s="690"/>
      <c r="AL51" s="690"/>
      <c r="AM51" s="690"/>
      <c r="AN51" s="696"/>
      <c r="AO51" s="690"/>
      <c r="AP51" s="690"/>
      <c r="AQ51" s="690"/>
      <c r="AR51" s="695"/>
      <c r="AS51" s="696"/>
      <c r="AT51" s="878"/>
      <c r="AU51" s="692"/>
      <c r="AV51" s="692"/>
      <c r="AW51" s="626"/>
      <c r="AX51" s="626"/>
      <c r="AY51" s="626"/>
      <c r="AZ51" s="692"/>
      <c r="BA51" s="453"/>
    </row>
    <row r="52" spans="1:53" ht="15.75" customHeight="1">
      <c r="A52" s="689"/>
      <c r="B52" s="689"/>
      <c r="C52" s="617"/>
      <c r="D52" s="617"/>
      <c r="E52" s="617"/>
      <c r="F52" s="686"/>
      <c r="G52" s="686"/>
      <c r="H52" s="686"/>
      <c r="I52" s="686"/>
      <c r="J52" s="686"/>
      <c r="K52" s="686"/>
      <c r="L52" s="686"/>
      <c r="M52" s="686"/>
      <c r="N52" s="686"/>
      <c r="O52" s="686"/>
      <c r="P52" s="686"/>
      <c r="Q52" s="686"/>
      <c r="R52" s="686"/>
      <c r="S52" s="686"/>
      <c r="T52" s="686"/>
      <c r="U52" s="686"/>
      <c r="V52" s="676"/>
      <c r="W52" s="677">
        <v>1.4</v>
      </c>
      <c r="X52" s="870">
        <f t="shared" si="40"/>
        <v>39.69</v>
      </c>
      <c r="Y52" s="555"/>
      <c r="Z52" s="555"/>
      <c r="AA52" s="555"/>
      <c r="AB52" s="632"/>
      <c r="AC52" s="425"/>
      <c r="AD52" s="702">
        <f>0.01*$AC$53*(C15-C16)/(7.75-(3*(C15-1000)/800))</f>
        <v>0.22159409043954623</v>
      </c>
      <c r="AE52" s="696" t="s">
        <v>33</v>
      </c>
      <c r="AF52" s="691"/>
      <c r="AG52" s="691"/>
      <c r="AH52" s="2605"/>
      <c r="AI52" s="693" t="s">
        <v>685</v>
      </c>
      <c r="AJ52" s="696">
        <f>(1.079*(SUM(AJ41:AJ47)/C23))</f>
        <v>8.751335054347825</v>
      </c>
      <c r="AK52" s="2605"/>
      <c r="AL52" s="2605"/>
      <c r="AM52" s="693" t="s">
        <v>685</v>
      </c>
      <c r="AN52" s="696">
        <f>(1.079*(SUM(AN41:AN47)/D23))</f>
        <v>8.751335054347825</v>
      </c>
      <c r="AO52" s="2605"/>
      <c r="AP52" s="2605"/>
      <c r="AQ52" s="693" t="s">
        <v>685</v>
      </c>
      <c r="AR52" s="696">
        <f>(1.079*(SUM(AR41:AR47)/E23))</f>
        <v>9.1911448369565196</v>
      </c>
      <c r="AS52" s="2605"/>
      <c r="AT52" s="2605"/>
      <c r="AU52" s="692"/>
      <c r="AV52" s="692"/>
      <c r="AW52" s="626"/>
      <c r="AX52" s="626"/>
      <c r="AY52" s="626"/>
      <c r="AZ52" s="692"/>
      <c r="BA52" s="453"/>
    </row>
    <row r="53" spans="1:53" ht="15.75" customHeight="1">
      <c r="A53" s="617"/>
      <c r="B53" s="5061" t="s">
        <v>686</v>
      </c>
      <c r="C53" s="5061"/>
      <c r="D53" s="5061"/>
      <c r="E53" s="5061"/>
      <c r="F53" s="5061"/>
      <c r="G53" s="5061"/>
      <c r="H53" s="5061"/>
      <c r="I53" s="5061"/>
      <c r="J53" s="5061"/>
      <c r="K53" s="3533"/>
      <c r="L53" s="453"/>
      <c r="M53" s="453"/>
      <c r="N53" s="453"/>
      <c r="O53" s="453"/>
      <c r="P53" s="453"/>
      <c r="Q53" s="453"/>
      <c r="R53" s="453"/>
      <c r="S53" s="453"/>
      <c r="T53" s="453"/>
      <c r="U53" s="617"/>
      <c r="V53" s="676"/>
      <c r="W53" s="677">
        <v>0.1111</v>
      </c>
      <c r="X53" s="2702">
        <f t="shared" si="40"/>
        <v>3.1496850000000003</v>
      </c>
      <c r="Y53" s="555"/>
      <c r="Z53" s="555"/>
      <c r="AA53" s="555"/>
      <c r="AB53" s="632"/>
      <c r="AC53" s="690">
        <f>AC51*AD51/1000</f>
        <v>5.5336939999999997</v>
      </c>
      <c r="AD53" s="702">
        <f>0.00000001*C16*((1000*C15)/$AC$53+(819.2*C16)-1000400)</f>
        <v>0.11696271391785421</v>
      </c>
      <c r="AE53" s="696" t="s">
        <v>33</v>
      </c>
      <c r="AF53" s="2605"/>
      <c r="AG53" s="2605"/>
      <c r="AH53" s="692"/>
      <c r="AI53" s="693" t="s">
        <v>687</v>
      </c>
      <c r="AJ53" s="695">
        <f>(1.079*(SUM(AJ41:AJ45))/C23)</f>
        <v>7.4767663043478256</v>
      </c>
      <c r="AK53" s="696"/>
      <c r="AL53" s="696"/>
      <c r="AM53" s="696"/>
      <c r="AN53" s="695">
        <f>(1.079*(SUM(AN41:AN45))/D23)</f>
        <v>7.4767663043478256</v>
      </c>
      <c r="AO53" s="696"/>
      <c r="AP53" s="696"/>
      <c r="AQ53" s="696"/>
      <c r="AR53" s="695">
        <f>(1.079*(SUM(AR41:AR45))/E23)</f>
        <v>7.9165760869565212</v>
      </c>
      <c r="AS53" s="2605"/>
      <c r="AT53" s="878"/>
      <c r="AU53" s="692"/>
      <c r="AV53" s="692"/>
      <c r="AW53" s="626"/>
      <c r="AX53" s="626"/>
      <c r="AY53" s="626"/>
      <c r="AZ53" s="692"/>
      <c r="BA53" s="2701"/>
    </row>
    <row r="54" spans="1:53" ht="15.75" customHeight="1">
      <c r="A54" s="617"/>
      <c r="B54" s="5062"/>
      <c r="C54" s="5062"/>
      <c r="D54" s="5062"/>
      <c r="E54" s="5062"/>
      <c r="F54" s="5062"/>
      <c r="G54" s="5062"/>
      <c r="H54" s="5062"/>
      <c r="I54" s="5062"/>
      <c r="J54" s="5062"/>
      <c r="K54" s="617"/>
      <c r="L54" s="5063" t="s">
        <v>1753</v>
      </c>
      <c r="M54" s="5063"/>
      <c r="N54" s="453"/>
      <c r="O54" s="453"/>
      <c r="P54" s="453"/>
      <c r="Q54" s="453"/>
      <c r="R54" s="453"/>
      <c r="S54" s="453"/>
      <c r="T54" s="453"/>
      <c r="U54" s="453"/>
      <c r="V54" s="676"/>
      <c r="W54" s="677">
        <v>1.1778</v>
      </c>
      <c r="X54" s="870">
        <f t="shared" si="40"/>
        <v>33.390630000000002</v>
      </c>
      <c r="Y54" s="555"/>
      <c r="Z54" s="555"/>
      <c r="AA54" s="555"/>
      <c r="AB54" s="632"/>
      <c r="AC54" s="626"/>
      <c r="AD54" s="626"/>
      <c r="AE54" s="626"/>
      <c r="AF54" s="692"/>
      <c r="AG54" s="692"/>
      <c r="AH54" s="699"/>
      <c r="AI54" s="699" t="s">
        <v>689</v>
      </c>
      <c r="AJ54" s="700">
        <f>(SUM(AI26:AI45)+AJ47)/C23</f>
        <v>37.079076086956526</v>
      </c>
      <c r="AK54" s="701" t="s">
        <v>192</v>
      </c>
      <c r="AL54" s="702">
        <f>0.01*$AC$53*(D15-D16)/(7.75-(3*(D15-1000)/800))</f>
        <v>0.22159409043954623</v>
      </c>
      <c r="AM54" s="696" t="s">
        <v>33</v>
      </c>
      <c r="AN54" s="700">
        <f>(SUM(AM26:AM45)+AN47)/D23</f>
        <v>37.079076086956526</v>
      </c>
      <c r="AO54" s="701" t="s">
        <v>192</v>
      </c>
      <c r="AP54" s="702">
        <f>0.01*$AC$53*(E15-E16)/(7.75-(3*(E15-1000)/800))</f>
        <v>0.21630248119359496</v>
      </c>
      <c r="AQ54" s="696" t="s">
        <v>33</v>
      </c>
      <c r="AR54" s="700">
        <f>(SUM(AQ26:AQ45)+AR47)/E23</f>
        <v>35.951902173913048</v>
      </c>
      <c r="AS54" s="2605"/>
      <c r="AT54" s="878"/>
      <c r="AU54" s="692"/>
      <c r="AV54" s="692"/>
      <c r="AW54" s="626"/>
      <c r="AX54" s="626"/>
      <c r="AY54" s="626"/>
      <c r="AZ54" s="692"/>
      <c r="BA54" s="453"/>
    </row>
    <row r="55" spans="1:53" ht="15.75" customHeight="1">
      <c r="A55" s="617"/>
      <c r="B55" s="662" t="s">
        <v>762</v>
      </c>
      <c r="C55" s="5064" t="s">
        <v>688</v>
      </c>
      <c r="D55" s="5065"/>
      <c r="E55" s="5065"/>
      <c r="F55" s="5066"/>
      <c r="G55" s="5067" t="s">
        <v>1755</v>
      </c>
      <c r="H55" s="5068"/>
      <c r="I55" s="5068"/>
      <c r="J55" s="5069"/>
      <c r="K55" s="641"/>
      <c r="L55" s="5073" t="s">
        <v>1752</v>
      </c>
      <c r="M55" s="5074"/>
      <c r="N55" s="5074"/>
      <c r="O55" s="5074"/>
      <c r="P55" s="5074"/>
      <c r="Q55" s="5074"/>
      <c r="R55" s="5074"/>
      <c r="S55" s="5074"/>
      <c r="T55" s="5075"/>
      <c r="U55" s="453"/>
      <c r="V55" s="638"/>
      <c r="W55" s="638"/>
      <c r="X55" s="638"/>
      <c r="Y55" s="555"/>
      <c r="Z55" s="555"/>
      <c r="AA55" s="555"/>
      <c r="AB55" s="454"/>
      <c r="AC55" s="626"/>
      <c r="AD55" s="626"/>
      <c r="AE55" s="626"/>
      <c r="AF55" s="692"/>
      <c r="AG55" s="692"/>
      <c r="AH55" s="704"/>
      <c r="AI55" s="704" t="s">
        <v>690</v>
      </c>
      <c r="AJ55" s="700">
        <f>SUM(AI26:AI45)/C23</f>
        <v>35.89782608695652</v>
      </c>
      <c r="AK55" s="701" t="s">
        <v>192</v>
      </c>
      <c r="AL55" s="702">
        <f>0.00000001*D16*((1000*D15)/$AC$53+(819.2*D16)-1000400)</f>
        <v>0.11696271391785421</v>
      </c>
      <c r="AM55" s="696" t="s">
        <v>33</v>
      </c>
      <c r="AN55" s="700">
        <f>SUM(AM26:AM45)/D23</f>
        <v>35.89782608695652</v>
      </c>
      <c r="AO55" s="701" t="s">
        <v>192</v>
      </c>
      <c r="AP55" s="702">
        <f>0.00000001*E16*((1000*E15)/$AC$53+(819.2*E16)-1000400)</f>
        <v>0.11143676041102547</v>
      </c>
      <c r="AQ55" s="696" t="s">
        <v>33</v>
      </c>
      <c r="AR55" s="700">
        <f>SUM(AQ26:AQ45)/E23</f>
        <v>34.770652173913042</v>
      </c>
      <c r="AS55" s="2605"/>
      <c r="AT55" s="878"/>
      <c r="AU55" s="692"/>
      <c r="AV55" s="692"/>
      <c r="AW55" s="626"/>
      <c r="AX55" s="626"/>
      <c r="AY55" s="626"/>
      <c r="AZ55" s="692"/>
      <c r="BA55" s="453"/>
    </row>
    <row r="56" spans="1:53" ht="15.75" customHeight="1">
      <c r="A56" s="617"/>
      <c r="B56" s="640" t="s">
        <v>14</v>
      </c>
      <c r="C56" s="2243">
        <f>1000+AJ96</f>
        <v>1059.8141304347826</v>
      </c>
      <c r="D56" s="3336">
        <v>60</v>
      </c>
      <c r="E56" s="5082"/>
      <c r="F56" s="5083"/>
      <c r="G56" s="5070"/>
      <c r="H56" s="5071"/>
      <c r="I56" s="5071"/>
      <c r="J56" s="5072"/>
      <c r="K56" s="641"/>
      <c r="L56" s="5076"/>
      <c r="M56" s="5077"/>
      <c r="N56" s="5077"/>
      <c r="O56" s="5077"/>
      <c r="P56" s="5077"/>
      <c r="Q56" s="5077"/>
      <c r="R56" s="5077"/>
      <c r="S56" s="5077"/>
      <c r="T56" s="5078"/>
      <c r="U56" s="638"/>
      <c r="V56" s="996" t="s">
        <v>61</v>
      </c>
      <c r="W56" s="2497" t="s">
        <v>865</v>
      </c>
      <c r="X56" s="5090" t="s">
        <v>1843</v>
      </c>
      <c r="Y56" s="5091"/>
      <c r="Z56" s="3259" t="s">
        <v>676</v>
      </c>
      <c r="AA56" s="555"/>
      <c r="AB56" s="617"/>
      <c r="AC56" s="626"/>
      <c r="AD56" s="626"/>
      <c r="AE56" s="626"/>
      <c r="AF56" s="690"/>
      <c r="AG56" s="692"/>
      <c r="AH56" s="706"/>
      <c r="AI56" s="704" t="s">
        <v>692</v>
      </c>
      <c r="AJ56" s="695">
        <f>(AJ54-(0.375*C47*C23)/C23-AJ49-AJ53)</f>
        <v>6.6947010869565284</v>
      </c>
      <c r="AK56" s="701" t="s">
        <v>216</v>
      </c>
      <c r="AL56" s="707">
        <f>SUM(AL54:AL55)</f>
        <v>0.33855680435740043</v>
      </c>
      <c r="AM56" s="696" t="s">
        <v>33</v>
      </c>
      <c r="AN56" s="695">
        <f>(AN54-(0.375*D47*D23)/D23-AN49-AN53)</f>
        <v>6.6947010869565284</v>
      </c>
      <c r="AO56" s="701" t="s">
        <v>216</v>
      </c>
      <c r="AP56" s="707">
        <f>SUM(AP54:AP55)</f>
        <v>0.32773924160462042</v>
      </c>
      <c r="AQ56" s="696" t="s">
        <v>33</v>
      </c>
      <c r="AR56" s="695">
        <f>(AR54-(0.375*E47*E23)/E23-AR49-AR53)</f>
        <v>6.2788043478260924</v>
      </c>
      <c r="AS56" s="702"/>
      <c r="AT56" s="878"/>
      <c r="AU56" s="692"/>
      <c r="AV56" s="692"/>
      <c r="AW56" s="626"/>
      <c r="AX56" s="626"/>
      <c r="AY56" s="626"/>
      <c r="AZ56" s="692"/>
      <c r="BA56" s="453"/>
    </row>
    <row r="57" spans="1:53" ht="15.75" customHeight="1">
      <c r="A57" s="617"/>
      <c r="B57" s="705" t="s">
        <v>312</v>
      </c>
      <c r="C57" s="2244">
        <f>1000+AJ99</f>
        <v>1011.4942048913043</v>
      </c>
      <c r="D57" s="3337" t="s">
        <v>1851</v>
      </c>
      <c r="E57" s="5084"/>
      <c r="F57" s="5085"/>
      <c r="G57" s="5092" t="s">
        <v>691</v>
      </c>
      <c r="H57" s="5092"/>
      <c r="I57" s="5092"/>
      <c r="J57" s="5093" t="s">
        <v>136</v>
      </c>
      <c r="K57" s="641"/>
      <c r="L57" s="5076"/>
      <c r="M57" s="5077"/>
      <c r="N57" s="5077"/>
      <c r="O57" s="5077"/>
      <c r="P57" s="5077"/>
      <c r="Q57" s="5077"/>
      <c r="R57" s="5077"/>
      <c r="S57" s="5077"/>
      <c r="T57" s="5078"/>
      <c r="U57" s="638"/>
      <c r="V57" s="974">
        <v>1</v>
      </c>
      <c r="W57" s="2498">
        <f>16*Z57</f>
        <v>3.5273368606701938E-2</v>
      </c>
      <c r="X57" s="4642" t="str">
        <f t="shared" ref="X57:X66" si="41">INT(W57/16)&amp;"  lb   "&amp;FIXED(W57-16*INT(W57/16),2)&amp;"  oz"</f>
        <v>0  lb   0.04  oz</v>
      </c>
      <c r="Y57" s="4643"/>
      <c r="Z57" s="3284">
        <f>V57/(1000*0.4536)</f>
        <v>2.2045855379188711E-3</v>
      </c>
      <c r="AA57" s="555"/>
      <c r="AB57" s="617"/>
      <c r="AC57" s="626"/>
      <c r="AD57" s="626"/>
      <c r="AE57" s="626"/>
      <c r="AF57" s="692"/>
      <c r="AG57" s="692"/>
      <c r="AH57" s="425"/>
      <c r="AI57" s="699" t="s">
        <v>693</v>
      </c>
      <c r="AJ57" s="700">
        <f>(AJ54-AJ49-AJ52)</f>
        <v>6.6013823369565277</v>
      </c>
      <c r="AK57" s="701" t="s">
        <v>216</v>
      </c>
      <c r="AL57" s="701"/>
      <c r="AM57" s="690"/>
      <c r="AN57" s="700">
        <f>(AN54-AN49-AN52)</f>
        <v>6.6013823369565277</v>
      </c>
      <c r="AO57" s="701" t="s">
        <v>216</v>
      </c>
      <c r="AP57" s="690"/>
      <c r="AQ57" s="690"/>
      <c r="AR57" s="700">
        <f>(AR54-AR49-AR52)</f>
        <v>6.1854855978260925</v>
      </c>
      <c r="AS57" s="703"/>
      <c r="AT57" s="692"/>
      <c r="AU57" s="692"/>
      <c r="AV57" s="692"/>
      <c r="AW57" s="626"/>
      <c r="AX57" s="626"/>
      <c r="AY57" s="626"/>
      <c r="AZ57" s="692"/>
      <c r="BA57" s="554"/>
    </row>
    <row r="58" spans="1:53" ht="15.75" customHeight="1">
      <c r="A58" s="617"/>
      <c r="B58" s="647" t="s">
        <v>313</v>
      </c>
      <c r="C58" s="2245">
        <f>(C56-C57)/(7.75-(3*(C56-1000)/800))</f>
        <v>6.4206578438765831</v>
      </c>
      <c r="D58" s="3337">
        <v>6.5</v>
      </c>
      <c r="E58" s="5084"/>
      <c r="F58" s="5085"/>
      <c r="G58" s="5096" t="s">
        <v>663</v>
      </c>
      <c r="H58" s="5097"/>
      <c r="I58" s="410">
        <v>500</v>
      </c>
      <c r="J58" s="5094"/>
      <c r="K58" s="641"/>
      <c r="L58" s="5076"/>
      <c r="M58" s="5077"/>
      <c r="N58" s="5077"/>
      <c r="O58" s="5077"/>
      <c r="P58" s="5077"/>
      <c r="Q58" s="5077"/>
      <c r="R58" s="5077"/>
      <c r="S58" s="5077"/>
      <c r="T58" s="5078"/>
      <c r="U58" s="617"/>
      <c r="V58" s="974">
        <v>2</v>
      </c>
      <c r="W58" s="2498">
        <f>16*Z58</f>
        <v>7.0546737213403876E-2</v>
      </c>
      <c r="X58" s="4642" t="str">
        <f t="shared" si="41"/>
        <v>0  lb   0.07  oz</v>
      </c>
      <c r="Y58" s="4643"/>
      <c r="Z58" s="3284">
        <f>V58/(1000*0.4536)</f>
        <v>4.4091710758377423E-3</v>
      </c>
      <c r="AA58" s="555"/>
      <c r="AB58" s="617"/>
      <c r="AC58" s="690"/>
      <c r="AD58" s="690"/>
      <c r="AE58" s="690"/>
      <c r="AF58" s="692"/>
      <c r="AG58" s="626"/>
      <c r="AH58" s="626"/>
      <c r="AI58" s="626"/>
      <c r="AJ58" s="626"/>
      <c r="AK58" s="626"/>
      <c r="AL58" s="626"/>
      <c r="AM58" s="626"/>
      <c r="AN58" s="626"/>
      <c r="AO58" s="626"/>
      <c r="AP58" s="626"/>
      <c r="AQ58" s="626"/>
      <c r="AR58" s="626"/>
      <c r="AS58" s="626"/>
      <c r="AT58" s="692"/>
      <c r="AU58" s="692"/>
      <c r="AV58" s="692"/>
      <c r="AW58" s="626"/>
      <c r="AX58" s="626"/>
      <c r="AY58" s="626"/>
      <c r="AZ58" s="692"/>
      <c r="BA58" s="453"/>
    </row>
    <row r="59" spans="1:53" ht="15.75" customHeight="1">
      <c r="A59" s="617"/>
      <c r="B59" s="708" t="s">
        <v>662</v>
      </c>
      <c r="C59" s="2210">
        <f>1000+AJ97</f>
        <v>1057.4516304347826</v>
      </c>
      <c r="D59" s="5088" t="s">
        <v>1795</v>
      </c>
      <c r="E59" s="5084"/>
      <c r="F59" s="5085"/>
      <c r="G59" s="5098" t="s">
        <v>32</v>
      </c>
      <c r="H59" s="5099"/>
      <c r="I59" s="2234">
        <f>$AC$97*I58</f>
        <v>177.64977893356394</v>
      </c>
      <c r="J59" s="5094"/>
      <c r="K59" s="641"/>
      <c r="L59" s="5076"/>
      <c r="M59" s="5077"/>
      <c r="N59" s="5077"/>
      <c r="O59" s="5077"/>
      <c r="P59" s="5077"/>
      <c r="Q59" s="5077"/>
      <c r="R59" s="5077"/>
      <c r="S59" s="5077"/>
      <c r="T59" s="5078"/>
      <c r="U59" s="617"/>
      <c r="V59" s="974">
        <v>3</v>
      </c>
      <c r="W59" s="2498">
        <f>16*Z59</f>
        <v>0.10582010582010581</v>
      </c>
      <c r="X59" s="4642" t="str">
        <f t="shared" si="41"/>
        <v>0  lb   0.11  oz</v>
      </c>
      <c r="Y59" s="4643"/>
      <c r="Z59" s="3284">
        <f>V59/(1000*0.4536)</f>
        <v>6.6137566137566134E-3</v>
      </c>
      <c r="AA59" s="555"/>
      <c r="AB59" s="617"/>
      <c r="AC59" s="425"/>
      <c r="AD59" s="702"/>
      <c r="AE59" s="696"/>
      <c r="AF59" s="692"/>
      <c r="AG59" s="692"/>
      <c r="AH59" s="692"/>
      <c r="AI59" s="692"/>
      <c r="AJ59" s="692"/>
      <c r="AK59" s="692"/>
      <c r="AL59" s="692"/>
      <c r="AM59" s="692"/>
      <c r="AN59" s="692"/>
      <c r="AO59" s="692"/>
      <c r="AP59" s="692"/>
      <c r="AQ59" s="692"/>
      <c r="AR59" s="692"/>
      <c r="AS59" s="692"/>
      <c r="AT59" s="692"/>
      <c r="AU59" s="692"/>
      <c r="AV59" s="692"/>
      <c r="AW59" s="626"/>
      <c r="AX59" s="626"/>
      <c r="AY59" s="626"/>
      <c r="AZ59" s="692"/>
      <c r="BA59" s="453"/>
    </row>
    <row r="60" spans="1:53" ht="15.75" customHeight="1">
      <c r="A60" s="617"/>
      <c r="B60" s="709" t="s">
        <v>664</v>
      </c>
      <c r="C60" s="2210">
        <f>1000+AJ98</f>
        <v>1011.6808423913044</v>
      </c>
      <c r="D60" s="5089"/>
      <c r="E60" s="5084"/>
      <c r="F60" s="5085"/>
      <c r="G60" s="5100" t="s">
        <v>315</v>
      </c>
      <c r="H60" s="5101"/>
      <c r="I60" s="2234">
        <f>$AC$98*I58</f>
        <v>99.815479114152652</v>
      </c>
      <c r="J60" s="5094"/>
      <c r="K60" s="641"/>
      <c r="L60" s="5076"/>
      <c r="M60" s="5077"/>
      <c r="N60" s="5077"/>
      <c r="O60" s="5077"/>
      <c r="P60" s="5077"/>
      <c r="Q60" s="5077"/>
      <c r="R60" s="5077"/>
      <c r="S60" s="5077"/>
      <c r="T60" s="5078"/>
      <c r="U60" s="617"/>
      <c r="V60" s="974">
        <v>50</v>
      </c>
      <c r="W60" s="2498">
        <f t="shared" ref="W60:W66" si="42">16*Z60</f>
        <v>1.7636684303350969</v>
      </c>
      <c r="X60" s="4642" t="str">
        <f t="shared" si="41"/>
        <v>0  lb   1.76  oz</v>
      </c>
      <c r="Y60" s="4643"/>
      <c r="Z60" s="3284">
        <f t="shared" ref="Z60:Z66" si="43">V60/(1000*0.4536)</f>
        <v>0.11022927689594356</v>
      </c>
      <c r="AA60" s="555"/>
      <c r="AB60" s="617"/>
      <c r="AC60" s="692"/>
      <c r="AD60" s="692"/>
      <c r="AE60" s="690"/>
      <c r="AF60" s="692"/>
      <c r="AG60" s="692"/>
      <c r="AH60" s="692"/>
      <c r="AI60" s="692"/>
      <c r="AJ60" s="692"/>
      <c r="AK60" s="692"/>
      <c r="AL60" s="692"/>
      <c r="AM60" s="692"/>
      <c r="AN60" s="692"/>
      <c r="AO60" s="692"/>
      <c r="AP60" s="690"/>
      <c r="AQ60" s="690"/>
      <c r="AR60" s="690"/>
      <c r="AS60" s="690"/>
      <c r="AT60" s="690"/>
      <c r="AU60" s="692"/>
      <c r="AV60" s="692"/>
      <c r="AW60" s="626"/>
      <c r="AX60" s="626"/>
      <c r="AY60" s="626"/>
      <c r="AZ60" s="692"/>
      <c r="BA60" s="453"/>
    </row>
    <row r="61" spans="1:53" ht="15.75" customHeight="1">
      <c r="A61" s="626"/>
      <c r="B61" s="651" t="s">
        <v>112</v>
      </c>
      <c r="C61" s="2717" t="str">
        <f>FIXED(((AC91/C65)+I92*'Beer Data Sheet'!R16*'Beer Data Sheet'!T16/('Beer Data Sheet'!O16*C65)),1)&amp;" EBU"</f>
        <v>26.3 EBU</v>
      </c>
      <c r="D61" s="3337">
        <v>25</v>
      </c>
      <c r="E61" s="5084"/>
      <c r="F61" s="5085"/>
      <c r="G61" s="5106" t="s">
        <v>37</v>
      </c>
      <c r="H61" s="5107"/>
      <c r="I61" s="2236">
        <f>SUM(I59:I60)</f>
        <v>277.46525804771659</v>
      </c>
      <c r="J61" s="5094"/>
      <c r="K61" s="641"/>
      <c r="L61" s="5076"/>
      <c r="M61" s="5077"/>
      <c r="N61" s="5077"/>
      <c r="O61" s="5077"/>
      <c r="P61" s="5077"/>
      <c r="Q61" s="5077"/>
      <c r="R61" s="5077"/>
      <c r="S61" s="5077"/>
      <c r="T61" s="5078"/>
      <c r="U61" s="617"/>
      <c r="V61" s="974">
        <v>60</v>
      </c>
      <c r="W61" s="2498">
        <f t="shared" si="42"/>
        <v>2.1164021164021163</v>
      </c>
      <c r="X61" s="4642" t="str">
        <f t="shared" si="41"/>
        <v>0  lb   2.12  oz</v>
      </c>
      <c r="Y61" s="4643"/>
      <c r="Z61" s="3284">
        <f t="shared" si="43"/>
        <v>0.13227513227513227</v>
      </c>
      <c r="AA61" s="555"/>
      <c r="AB61" s="617"/>
      <c r="AC61" s="692"/>
      <c r="AD61" s="692"/>
      <c r="AE61" s="696"/>
      <c r="AF61" s="692"/>
      <c r="AG61" s="692"/>
      <c r="AH61" s="692"/>
      <c r="AI61" s="692"/>
      <c r="AJ61" s="692"/>
      <c r="AK61" s="692"/>
      <c r="AL61" s="692"/>
      <c r="AM61" s="692"/>
      <c r="AN61" s="692"/>
      <c r="AO61" s="692"/>
      <c r="AP61" s="690"/>
      <c r="AQ61" s="690"/>
      <c r="AR61" s="690"/>
      <c r="AS61" s="690"/>
      <c r="AT61" s="690"/>
      <c r="AU61" s="692"/>
      <c r="AV61" s="692"/>
      <c r="AW61" s="626"/>
      <c r="AX61" s="626"/>
      <c r="AY61" s="626"/>
      <c r="AZ61" s="692"/>
      <c r="BA61" s="453"/>
    </row>
    <row r="62" spans="1:53" ht="15.75" customHeight="1">
      <c r="A62" s="617"/>
      <c r="B62" s="710" t="s">
        <v>43</v>
      </c>
      <c r="C62" s="2718" t="str">
        <f>FIXED(SUM(AK68:AK87)/C65,1)&amp;" EBC"</f>
        <v>45.5 EBC</v>
      </c>
      <c r="D62" s="3337" t="s">
        <v>1939</v>
      </c>
      <c r="E62" s="5084"/>
      <c r="F62" s="5085"/>
      <c r="G62" s="5108" t="s">
        <v>665</v>
      </c>
      <c r="H62" s="5109"/>
      <c r="I62" s="2238">
        <f>I60/3.85</f>
        <v>25.92609847120848</v>
      </c>
      <c r="J62" s="5094"/>
      <c r="K62" s="698"/>
      <c r="L62" s="5076"/>
      <c r="M62" s="5077"/>
      <c r="N62" s="5077"/>
      <c r="O62" s="5077"/>
      <c r="P62" s="5077"/>
      <c r="Q62" s="5077"/>
      <c r="R62" s="5077"/>
      <c r="S62" s="5077"/>
      <c r="T62" s="5078"/>
      <c r="U62" s="617"/>
      <c r="V62" s="974">
        <v>80</v>
      </c>
      <c r="W62" s="2498">
        <f t="shared" si="42"/>
        <v>2.821869488536155</v>
      </c>
      <c r="X62" s="4642" t="str">
        <f t="shared" si="41"/>
        <v>0  lb   2.82  oz</v>
      </c>
      <c r="Y62" s="4643"/>
      <c r="Z62" s="3284">
        <f t="shared" si="43"/>
        <v>0.17636684303350969</v>
      </c>
      <c r="AA62" s="555"/>
      <c r="AB62" s="617"/>
      <c r="AC62" s="692"/>
      <c r="AD62" s="692"/>
      <c r="AE62" s="690"/>
      <c r="AF62" s="692"/>
      <c r="AG62" s="692"/>
      <c r="AH62" s="692"/>
      <c r="AI62" s="692"/>
      <c r="AJ62" s="692"/>
      <c r="AK62" s="692"/>
      <c r="AL62" s="692"/>
      <c r="AM62" s="692"/>
      <c r="AN62" s="692"/>
      <c r="AO62" s="692"/>
      <c r="AP62" s="690"/>
      <c r="AQ62" s="690"/>
      <c r="AR62" s="690"/>
      <c r="AS62" s="690"/>
      <c r="AT62" s="690"/>
      <c r="AU62" s="692"/>
      <c r="AV62" s="692"/>
      <c r="AW62" s="626"/>
      <c r="AX62" s="626"/>
      <c r="AY62" s="626"/>
      <c r="AZ62" s="692"/>
      <c r="BA62" s="555"/>
    </row>
    <row r="63" spans="1:53" ht="15.75" customHeight="1">
      <c r="A63" s="617"/>
      <c r="B63" s="654"/>
      <c r="C63" s="2213" t="str">
        <f>"≈ "&amp;FIXED(0.508*SUM(AK68:AK87)/C65,1)&amp;" SRM"</f>
        <v>≈ 23.1 SRM</v>
      </c>
      <c r="D63" s="3784" t="str">
        <f>"≈ "&amp;FIXED(0.508*D62)&amp;" SRM"</f>
        <v>≈ 25.40 SRM</v>
      </c>
      <c r="E63" s="5086"/>
      <c r="F63" s="5087"/>
      <c r="G63" s="5108" t="s">
        <v>47</v>
      </c>
      <c r="H63" s="5109"/>
      <c r="I63" s="2239">
        <f>I64*I58/1000</f>
        <v>3.2103289219382916</v>
      </c>
      <c r="J63" s="5094"/>
      <c r="K63" s="698"/>
      <c r="L63" s="5076"/>
      <c r="M63" s="5077"/>
      <c r="N63" s="5077"/>
      <c r="O63" s="5077"/>
      <c r="P63" s="5077"/>
      <c r="Q63" s="5077"/>
      <c r="R63" s="5077"/>
      <c r="S63" s="5077"/>
      <c r="T63" s="5078"/>
      <c r="U63" s="617"/>
      <c r="V63" s="974">
        <v>100</v>
      </c>
      <c r="W63" s="2498">
        <f t="shared" si="42"/>
        <v>3.5273368606701938</v>
      </c>
      <c r="X63" s="4642" t="str">
        <f t="shared" si="41"/>
        <v>0  lb   3.53  oz</v>
      </c>
      <c r="Y63" s="4643"/>
      <c r="Z63" s="3284">
        <f t="shared" si="43"/>
        <v>0.22045855379188711</v>
      </c>
      <c r="AA63" s="555"/>
      <c r="AB63" s="617"/>
      <c r="AC63" s="2704" t="s">
        <v>64</v>
      </c>
      <c r="AD63" s="2704"/>
      <c r="AE63" s="2704"/>
      <c r="AF63" s="2704"/>
      <c r="AG63" s="2704"/>
      <c r="AH63" s="2704"/>
      <c r="AI63" s="2704"/>
      <c r="AJ63" s="2704"/>
      <c r="AK63" s="2704"/>
      <c r="AL63" s="2704"/>
      <c r="AM63" s="2704"/>
      <c r="AN63" s="2704"/>
      <c r="AO63" s="2704"/>
      <c r="AP63" s="2704"/>
      <c r="AQ63" s="2704"/>
      <c r="AR63" s="2704"/>
      <c r="AS63" s="2704"/>
      <c r="AT63" s="2704"/>
      <c r="AU63" s="692"/>
      <c r="AV63" s="692"/>
      <c r="AW63" s="626"/>
      <c r="AX63" s="626"/>
      <c r="AY63" s="626"/>
      <c r="AZ63" s="692"/>
      <c r="BA63" s="555"/>
    </row>
    <row r="64" spans="1:53" ht="15.75" customHeight="1">
      <c r="A64" s="617"/>
      <c r="B64" s="5122" t="str">
        <f>"This allows you to make a beer from a specific amount of extract, i.e. a "&amp;E66&amp;"g ̸ litres can etc. (Cell E66)"</f>
        <v>This allows you to make a beer from a specific amount of extract, i.e. a 1500g ̸ litres can etc. (Cell E66)</v>
      </c>
      <c r="C64" s="4542"/>
      <c r="D64" s="4542"/>
      <c r="E64" s="4542"/>
      <c r="F64" s="5123"/>
      <c r="G64" s="5124" t="s">
        <v>661</v>
      </c>
      <c r="H64" s="5125"/>
      <c r="I64" s="2240">
        <f>C58</f>
        <v>6.4206578438765831</v>
      </c>
      <c r="J64" s="5095"/>
      <c r="K64" s="641"/>
      <c r="L64" s="5076"/>
      <c r="M64" s="5077"/>
      <c r="N64" s="5077"/>
      <c r="O64" s="5077"/>
      <c r="P64" s="5077"/>
      <c r="Q64" s="5077"/>
      <c r="R64" s="5077"/>
      <c r="S64" s="5077"/>
      <c r="T64" s="5078"/>
      <c r="U64" s="617"/>
      <c r="V64" s="974">
        <v>1000</v>
      </c>
      <c r="W64" s="2498">
        <f t="shared" si="42"/>
        <v>35.273368606701936</v>
      </c>
      <c r="X64" s="4642" t="str">
        <f t="shared" si="41"/>
        <v>2  lb   3.27  oz</v>
      </c>
      <c r="Y64" s="4643"/>
      <c r="Z64" s="3284">
        <f t="shared" si="43"/>
        <v>2.204585537918871</v>
      </c>
      <c r="AA64" s="555"/>
      <c r="AB64" s="617"/>
      <c r="AC64" s="692"/>
      <c r="AD64" s="692"/>
      <c r="AE64" s="690"/>
      <c r="AF64" s="690"/>
      <c r="AG64" s="690"/>
      <c r="AH64" s="690"/>
      <c r="AI64" s="875"/>
      <c r="AJ64" s="875"/>
      <c r="AK64" s="875"/>
      <c r="AL64" s="875"/>
      <c r="AM64" s="875"/>
      <c r="AN64" s="875"/>
      <c r="AO64" s="875"/>
      <c r="AP64" s="875"/>
      <c r="AQ64" s="875"/>
      <c r="AR64" s="875"/>
      <c r="AS64" s="875"/>
      <c r="AT64" s="875"/>
      <c r="AU64" s="692"/>
      <c r="AV64" s="692"/>
      <c r="AW64" s="626"/>
      <c r="AX64" s="626"/>
      <c r="AY64" s="626"/>
      <c r="AZ64" s="692"/>
      <c r="BA64" s="555"/>
    </row>
    <row r="65" spans="1:53" ht="15.75" customHeight="1">
      <c r="A65" s="617"/>
      <c r="B65" s="711" t="s">
        <v>694</v>
      </c>
      <c r="C65" s="2246">
        <v>23</v>
      </c>
      <c r="D65" s="2573" t="s">
        <v>666</v>
      </c>
      <c r="E65" s="2574" t="s">
        <v>695</v>
      </c>
      <c r="F65" s="712" t="str">
        <f>FIXED(C65*E66/C66,2)&amp;" litres"</f>
        <v>9.58 litres</v>
      </c>
      <c r="G65" s="713" t="s">
        <v>84</v>
      </c>
      <c r="H65" s="2257" t="s">
        <v>696</v>
      </c>
      <c r="I65" s="2258" t="s">
        <v>697</v>
      </c>
      <c r="J65" s="2259" t="s">
        <v>698</v>
      </c>
      <c r="K65" s="641"/>
      <c r="L65" s="5076"/>
      <c r="M65" s="5077"/>
      <c r="N65" s="5077"/>
      <c r="O65" s="5077"/>
      <c r="P65" s="5077"/>
      <c r="Q65" s="5077"/>
      <c r="R65" s="5077"/>
      <c r="S65" s="5077"/>
      <c r="T65" s="5078"/>
      <c r="U65" s="617"/>
      <c r="V65" s="974">
        <v>5000</v>
      </c>
      <c r="W65" s="2498">
        <f t="shared" si="42"/>
        <v>176.3668430335097</v>
      </c>
      <c r="X65" s="4642" t="str">
        <f t="shared" si="41"/>
        <v>11  lb   0.37  oz</v>
      </c>
      <c r="Y65" s="4643"/>
      <c r="Z65" s="3284">
        <f t="shared" si="43"/>
        <v>11.022927689594356</v>
      </c>
      <c r="AA65" s="555"/>
      <c r="AB65" s="617"/>
      <c r="AC65" s="697"/>
      <c r="AD65" s="690"/>
      <c r="AE65" s="690"/>
      <c r="AF65" s="690"/>
      <c r="AG65" s="690"/>
      <c r="AH65" s="690"/>
      <c r="AI65" s="690"/>
      <c r="AJ65" s="690"/>
      <c r="AK65" s="690"/>
      <c r="AL65" s="690"/>
      <c r="AM65" s="690"/>
      <c r="AN65" s="692"/>
      <c r="AO65" s="692"/>
      <c r="AP65" s="692"/>
      <c r="AQ65" s="692"/>
      <c r="AR65" s="692"/>
      <c r="AS65" s="692"/>
      <c r="AT65" s="692"/>
      <c r="AU65" s="692"/>
      <c r="AV65" s="692"/>
      <c r="AW65" s="626"/>
      <c r="AX65" s="626"/>
      <c r="AY65" s="626"/>
      <c r="AZ65" s="692"/>
      <c r="BA65" s="555"/>
    </row>
    <row r="66" spans="1:53" ht="15.75" customHeight="1">
      <c r="A66" s="617"/>
      <c r="B66" s="714" t="s">
        <v>699</v>
      </c>
      <c r="C66" s="2247">
        <v>3600</v>
      </c>
      <c r="D66" s="2575" t="s">
        <v>700</v>
      </c>
      <c r="E66" s="2252">
        <v>1500</v>
      </c>
      <c r="F66" s="715" t="s">
        <v>701</v>
      </c>
      <c r="G66" s="716"/>
      <c r="H66" s="2260" t="s">
        <v>101</v>
      </c>
      <c r="I66" s="2261" t="s">
        <v>76</v>
      </c>
      <c r="J66" s="2262" t="s">
        <v>76</v>
      </c>
      <c r="K66" s="641"/>
      <c r="L66" s="5076"/>
      <c r="M66" s="5077"/>
      <c r="N66" s="5077"/>
      <c r="O66" s="5077"/>
      <c r="P66" s="5077"/>
      <c r="Q66" s="5077"/>
      <c r="R66" s="5077"/>
      <c r="S66" s="5077"/>
      <c r="T66" s="5078"/>
      <c r="U66" s="638"/>
      <c r="V66" s="974">
        <v>10000</v>
      </c>
      <c r="W66" s="2498">
        <f t="shared" si="42"/>
        <v>352.73368606701939</v>
      </c>
      <c r="X66" s="4642" t="str">
        <f t="shared" si="41"/>
        <v>22  lb   0.73  oz</v>
      </c>
      <c r="Y66" s="4643"/>
      <c r="Z66" s="3284">
        <f t="shared" si="43"/>
        <v>22.045855379188712</v>
      </c>
      <c r="AA66" s="555"/>
      <c r="AB66" s="638"/>
      <c r="AC66" s="717" t="s">
        <v>116</v>
      </c>
      <c r="AD66" s="692"/>
      <c r="AE66" s="692"/>
      <c r="AF66" s="692"/>
      <c r="AG66" s="692"/>
      <c r="AH66" s="692"/>
      <c r="AI66" s="690"/>
      <c r="AJ66" s="690"/>
      <c r="AK66" s="690"/>
      <c r="AL66" s="690"/>
      <c r="AM66" s="690"/>
      <c r="AN66" s="692"/>
      <c r="AO66" s="692"/>
      <c r="AP66" s="692"/>
      <c r="AQ66" s="692"/>
      <c r="AR66" s="692"/>
      <c r="AS66" s="692"/>
      <c r="AT66" s="626"/>
      <c r="AU66" s="626"/>
      <c r="AV66" s="626"/>
      <c r="AW66" s="692"/>
      <c r="AX66" s="692"/>
      <c r="AY66" s="692"/>
      <c r="AZ66" s="692"/>
      <c r="BA66" s="453"/>
    </row>
    <row r="67" spans="1:53" ht="15.75" customHeight="1">
      <c r="A67" s="617"/>
      <c r="B67" s="718" t="s">
        <v>330</v>
      </c>
      <c r="C67" s="719" t="s">
        <v>702</v>
      </c>
      <c r="D67" s="1806" t="s">
        <v>73</v>
      </c>
      <c r="E67" s="2253" t="s">
        <v>703</v>
      </c>
      <c r="F67" s="720" t="s">
        <v>73</v>
      </c>
      <c r="G67" s="2682" t="str">
        <f>'Beer Data Sheet'!Y9</f>
        <v>Bramling Cross</v>
      </c>
      <c r="H67" s="2683">
        <f>'Beer Data Sheet'!Z9</f>
        <v>5.0999999999999996</v>
      </c>
      <c r="I67" s="2263"/>
      <c r="J67" s="2264">
        <f t="shared" ref="J67:J74" si="44">I67*E$66/C$66</f>
        <v>0</v>
      </c>
      <c r="K67" s="641"/>
      <c r="L67" s="5076"/>
      <c r="M67" s="5077"/>
      <c r="N67" s="5077"/>
      <c r="O67" s="5077"/>
      <c r="P67" s="5077"/>
      <c r="Q67" s="5077"/>
      <c r="R67" s="5077"/>
      <c r="S67" s="5077"/>
      <c r="T67" s="5078"/>
      <c r="U67" s="638"/>
      <c r="V67" s="453"/>
      <c r="W67" s="453"/>
      <c r="X67" s="453"/>
      <c r="Y67" s="453"/>
      <c r="Z67" s="453"/>
      <c r="AA67" s="638"/>
      <c r="AB67" s="638"/>
      <c r="AC67" s="690">
        <f t="shared" ref="AC67:AC90" si="45">2*H67*I67</f>
        <v>0</v>
      </c>
      <c r="AD67" s="692"/>
      <c r="AE67" s="692"/>
      <c r="AF67" s="690" t="s">
        <v>333</v>
      </c>
      <c r="AG67" s="690" t="s">
        <v>334</v>
      </c>
      <c r="AH67" s="690"/>
      <c r="AI67" s="721" t="s">
        <v>44</v>
      </c>
      <c r="AJ67" s="690" t="s">
        <v>336</v>
      </c>
      <c r="AK67" s="690" t="s">
        <v>335</v>
      </c>
      <c r="AL67" s="690"/>
      <c r="AM67" s="690"/>
      <c r="AN67" s="626"/>
      <c r="AO67" s="692"/>
      <c r="AP67" s="690"/>
      <c r="AQ67" s="626"/>
      <c r="AR67" s="626"/>
      <c r="AS67" s="626"/>
      <c r="AT67" s="626"/>
      <c r="AU67" s="626"/>
      <c r="AV67" s="626"/>
      <c r="AW67" s="692"/>
      <c r="AX67" s="692"/>
      <c r="AY67" s="692"/>
      <c r="AZ67" s="692"/>
      <c r="BA67" s="453"/>
    </row>
    <row r="68" spans="1:53" ht="15.75" customHeight="1">
      <c r="A68" s="5102" t="s">
        <v>337</v>
      </c>
      <c r="B68" s="2697" t="str">
        <f>'Beer Data Sheet'!Y42</f>
        <v>Pale malt</v>
      </c>
      <c r="C68" s="2248"/>
      <c r="D68" s="722" t="s">
        <v>40</v>
      </c>
      <c r="E68" s="2254">
        <f t="shared" ref="E68:E87" si="46">C68*E$66/C$66</f>
        <v>0</v>
      </c>
      <c r="F68" s="723" t="s">
        <v>40</v>
      </c>
      <c r="G68" s="2682" t="str">
        <f>'Beer Data Sheet'!Y10</f>
        <v>Bullion</v>
      </c>
      <c r="H68" s="2683">
        <f>'Beer Data Sheet'!Z10</f>
        <v>10</v>
      </c>
      <c r="I68" s="2250"/>
      <c r="J68" s="2265">
        <f t="shared" si="44"/>
        <v>0</v>
      </c>
      <c r="K68" s="641"/>
      <c r="L68" s="5076"/>
      <c r="M68" s="5077"/>
      <c r="N68" s="5077"/>
      <c r="O68" s="5077"/>
      <c r="P68" s="5077"/>
      <c r="Q68" s="5077"/>
      <c r="R68" s="5077"/>
      <c r="S68" s="5077"/>
      <c r="T68" s="5078"/>
      <c r="U68" s="638"/>
      <c r="V68" s="453"/>
      <c r="W68" s="453"/>
      <c r="X68" s="453"/>
      <c r="Y68" s="453"/>
      <c r="Z68" s="453"/>
      <c r="AA68" s="638"/>
      <c r="AB68" s="638"/>
      <c r="AC68" s="690">
        <f t="shared" si="45"/>
        <v>0</v>
      </c>
      <c r="AD68" s="690"/>
      <c r="AE68" s="626"/>
      <c r="AF68" s="721">
        <f>'Beer Data Sheet'!Z42*$L$8/100</f>
        <v>225</v>
      </c>
      <c r="AG68" s="724">
        <f t="shared" ref="AG68:AG82" si="47">C$91/100</f>
        <v>0.75</v>
      </c>
      <c r="AH68" s="721">
        <f>'Beer Data Sheet'!AD42</f>
        <v>4.0999999999999996</v>
      </c>
      <c r="AI68" s="725">
        <f t="shared" ref="AI68:AI88" si="48">0.001*AF68*C68</f>
        <v>0</v>
      </c>
      <c r="AJ68" s="690">
        <f t="shared" ref="AJ68" si="49">AI68*AG68</f>
        <v>0</v>
      </c>
      <c r="AK68" s="726">
        <f t="shared" ref="AK68" si="50">0.01*AH68*C68</f>
        <v>0</v>
      </c>
      <c r="AL68" s="690"/>
      <c r="AM68" s="690"/>
      <c r="AN68" s="626"/>
      <c r="AO68" s="626"/>
      <c r="AP68" s="690"/>
      <c r="AQ68" s="692"/>
      <c r="AR68" s="692"/>
      <c r="AS68" s="692"/>
      <c r="AT68" s="692"/>
      <c r="AU68" s="692"/>
      <c r="AV68" s="692"/>
      <c r="AW68" s="692"/>
      <c r="AX68" s="692"/>
      <c r="AY68" s="692"/>
      <c r="AZ68" s="692"/>
      <c r="BA68" s="453"/>
    </row>
    <row r="69" spans="1:53" ht="15.75" customHeight="1">
      <c r="A69" s="5103"/>
      <c r="B69" s="2697" t="str">
        <f>'Beer Data Sheet'!Y43</f>
        <v>Lager malt (Pilsner)</v>
      </c>
      <c r="C69" s="2249"/>
      <c r="D69" s="727" t="s">
        <v>40</v>
      </c>
      <c r="E69" s="2255">
        <f t="shared" si="46"/>
        <v>0</v>
      </c>
      <c r="F69" s="728" t="s">
        <v>40</v>
      </c>
      <c r="G69" s="2682" t="str">
        <f>'Beer Data Sheet'!Y11</f>
        <v>Challenger</v>
      </c>
      <c r="H69" s="2683">
        <f>'Beer Data Sheet'!Z11</f>
        <v>7.5</v>
      </c>
      <c r="I69" s="2250"/>
      <c r="J69" s="2265">
        <f t="shared" si="44"/>
        <v>0</v>
      </c>
      <c r="K69" s="641"/>
      <c r="L69" s="5076"/>
      <c r="M69" s="5077"/>
      <c r="N69" s="5077"/>
      <c r="O69" s="5077"/>
      <c r="P69" s="5077"/>
      <c r="Q69" s="5077"/>
      <c r="R69" s="5077"/>
      <c r="S69" s="5077"/>
      <c r="T69" s="5078"/>
      <c r="U69" s="638"/>
      <c r="V69" s="453"/>
      <c r="W69" s="453"/>
      <c r="X69" s="453"/>
      <c r="Y69" s="453"/>
      <c r="Z69" s="453"/>
      <c r="AA69" s="638"/>
      <c r="AB69" s="638"/>
      <c r="AC69" s="690">
        <f t="shared" si="45"/>
        <v>0</v>
      </c>
      <c r="AD69" s="690"/>
      <c r="AE69" s="626"/>
      <c r="AF69" s="721">
        <f>'Beer Data Sheet'!Z43*$L$8/100</f>
        <v>225</v>
      </c>
      <c r="AG69" s="724">
        <f t="shared" si="47"/>
        <v>0.75</v>
      </c>
      <c r="AH69" s="721">
        <f>'Beer Data Sheet'!AD43</f>
        <v>2.2000000000000002</v>
      </c>
      <c r="AI69" s="725">
        <f t="shared" si="48"/>
        <v>0</v>
      </c>
      <c r="AJ69" s="690">
        <f t="shared" ref="AJ69:AJ88" si="51">AI69*AG69</f>
        <v>0</v>
      </c>
      <c r="AK69" s="726">
        <f t="shared" ref="AK69:AK88" si="52">0.01*AH69*C69</f>
        <v>0</v>
      </c>
      <c r="AL69" s="690"/>
      <c r="AM69" s="690"/>
      <c r="AN69" s="626"/>
      <c r="AO69" s="626"/>
      <c r="AP69" s="690"/>
      <c r="AQ69" s="692"/>
      <c r="AR69" s="692"/>
      <c r="AS69" s="692"/>
      <c r="AT69" s="692"/>
      <c r="AU69" s="692"/>
      <c r="AV69" s="692"/>
      <c r="AW69" s="692"/>
      <c r="AX69" s="692"/>
      <c r="AY69" s="692"/>
      <c r="AZ69" s="692"/>
      <c r="BA69" s="453"/>
    </row>
    <row r="70" spans="1:53" ht="15.75" customHeight="1">
      <c r="A70" s="5104"/>
      <c r="B70" s="2697" t="str">
        <f>'Beer Data Sheet'!Y44</f>
        <v>Mild Ale malt</v>
      </c>
      <c r="C70" s="2249"/>
      <c r="D70" s="727" t="s">
        <v>40</v>
      </c>
      <c r="E70" s="2255">
        <f t="shared" si="46"/>
        <v>0</v>
      </c>
      <c r="F70" s="728" t="s">
        <v>40</v>
      </c>
      <c r="G70" s="2682" t="str">
        <f>'Beer Data Sheet'!Y12</f>
        <v>EKG</v>
      </c>
      <c r="H70" s="2683">
        <f>'Beer Data Sheet'!Z12</f>
        <v>5.5</v>
      </c>
      <c r="I70" s="2250"/>
      <c r="J70" s="2265">
        <f t="shared" si="44"/>
        <v>0</v>
      </c>
      <c r="K70" s="641"/>
      <c r="L70" s="5076"/>
      <c r="M70" s="5077"/>
      <c r="N70" s="5077"/>
      <c r="O70" s="5077"/>
      <c r="P70" s="5077"/>
      <c r="Q70" s="5077"/>
      <c r="R70" s="5077"/>
      <c r="S70" s="5077"/>
      <c r="T70" s="5078"/>
      <c r="U70" s="638"/>
      <c r="V70" s="453"/>
      <c r="W70" s="453"/>
      <c r="X70" s="453"/>
      <c r="Y70" s="3378"/>
      <c r="Z70" s="453"/>
      <c r="AA70" s="638"/>
      <c r="AB70" s="638"/>
      <c r="AC70" s="690">
        <f t="shared" si="45"/>
        <v>0</v>
      </c>
      <c r="AD70" s="690"/>
      <c r="AE70" s="626"/>
      <c r="AF70" s="721">
        <f>'Beer Data Sheet'!Z44*$L$8/100</f>
        <v>221.25</v>
      </c>
      <c r="AG70" s="724">
        <f t="shared" si="47"/>
        <v>0.75</v>
      </c>
      <c r="AH70" s="721">
        <f>'Beer Data Sheet'!AD44</f>
        <v>4.97</v>
      </c>
      <c r="AI70" s="725">
        <f t="shared" si="48"/>
        <v>0</v>
      </c>
      <c r="AJ70" s="690">
        <f t="shared" si="51"/>
        <v>0</v>
      </c>
      <c r="AK70" s="726">
        <f t="shared" si="52"/>
        <v>0</v>
      </c>
      <c r="AL70" s="690"/>
      <c r="AM70" s="690"/>
      <c r="AN70" s="626"/>
      <c r="AO70" s="626"/>
      <c r="AP70" s="690"/>
      <c r="AQ70" s="692"/>
      <c r="AR70" s="692"/>
      <c r="AS70" s="692"/>
      <c r="AT70" s="692"/>
      <c r="AU70" s="692"/>
      <c r="AV70" s="692"/>
      <c r="AW70" s="692"/>
      <c r="AX70" s="692"/>
      <c r="AY70" s="692"/>
      <c r="AZ70" s="692"/>
      <c r="BA70" s="453"/>
    </row>
    <row r="71" spans="1:53" ht="15.75" customHeight="1">
      <c r="A71" s="5104"/>
      <c r="B71" s="2697" t="str">
        <f>'Beer Data Sheet'!Y45</f>
        <v xml:space="preserve">Flaked ̸ Torrified barley </v>
      </c>
      <c r="C71" s="2249"/>
      <c r="D71" s="727" t="s">
        <v>40</v>
      </c>
      <c r="E71" s="2255">
        <f t="shared" si="46"/>
        <v>0</v>
      </c>
      <c r="F71" s="728" t="s">
        <v>40</v>
      </c>
      <c r="G71" s="2682" t="str">
        <f>'Beer Data Sheet'!Y13</f>
        <v>First Gold</v>
      </c>
      <c r="H71" s="2683">
        <f>'Beer Data Sheet'!Z13</f>
        <v>7.9</v>
      </c>
      <c r="I71" s="2250"/>
      <c r="J71" s="2265">
        <f t="shared" si="44"/>
        <v>0</v>
      </c>
      <c r="K71" s="641"/>
      <c r="L71" s="5076"/>
      <c r="M71" s="5077"/>
      <c r="N71" s="5077"/>
      <c r="O71" s="5077"/>
      <c r="P71" s="5077"/>
      <c r="Q71" s="5077"/>
      <c r="R71" s="5077"/>
      <c r="S71" s="5077"/>
      <c r="T71" s="5078"/>
      <c r="U71" s="638"/>
      <c r="V71" s="453"/>
      <c r="W71" s="453"/>
      <c r="X71" s="453"/>
      <c r="Y71" s="453"/>
      <c r="Z71" s="453"/>
      <c r="AA71" s="638"/>
      <c r="AB71" s="638"/>
      <c r="AC71" s="690">
        <f t="shared" si="45"/>
        <v>0</v>
      </c>
      <c r="AD71" s="690"/>
      <c r="AE71" s="626"/>
      <c r="AF71" s="721">
        <f>'Beer Data Sheet'!Z45*$L$8/100</f>
        <v>187.5</v>
      </c>
      <c r="AG71" s="724">
        <f t="shared" si="47"/>
        <v>0.75</v>
      </c>
      <c r="AH71" s="721">
        <f>'Beer Data Sheet'!AD45</f>
        <v>2.13</v>
      </c>
      <c r="AI71" s="725">
        <f t="shared" si="48"/>
        <v>0</v>
      </c>
      <c r="AJ71" s="690">
        <f t="shared" si="51"/>
        <v>0</v>
      </c>
      <c r="AK71" s="726">
        <f t="shared" si="52"/>
        <v>0</v>
      </c>
      <c r="AL71" s="690"/>
      <c r="AM71" s="690"/>
      <c r="AN71" s="626"/>
      <c r="AO71" s="626"/>
      <c r="AP71" s="690"/>
      <c r="AQ71" s="692"/>
      <c r="AR71" s="692"/>
      <c r="AS71" s="692"/>
      <c r="AT71" s="692"/>
      <c r="AU71" s="692"/>
      <c r="AV71" s="692"/>
      <c r="AW71" s="692"/>
      <c r="AX71" s="692"/>
      <c r="AY71" s="692"/>
      <c r="AZ71" s="692"/>
      <c r="BA71" s="453"/>
    </row>
    <row r="72" spans="1:53" ht="15.75" customHeight="1">
      <c r="A72" s="5104"/>
      <c r="B72" s="2697" t="str">
        <f>'Beer Data Sheet'!Y46</f>
        <v>Wheat malt ̸ Malted wheat</v>
      </c>
      <c r="C72" s="2249"/>
      <c r="D72" s="727" t="s">
        <v>40</v>
      </c>
      <c r="E72" s="2255">
        <f t="shared" si="46"/>
        <v>0</v>
      </c>
      <c r="F72" s="728" t="s">
        <v>40</v>
      </c>
      <c r="G72" s="2682" t="str">
        <f>'Beer Data Sheet'!Y14</f>
        <v>Fuggles</v>
      </c>
      <c r="H72" s="2683">
        <f>'Beer Data Sheet'!Z14</f>
        <v>4.5</v>
      </c>
      <c r="I72" s="2250"/>
      <c r="J72" s="2265">
        <f t="shared" si="44"/>
        <v>0</v>
      </c>
      <c r="K72" s="641"/>
      <c r="L72" s="5076"/>
      <c r="M72" s="5077"/>
      <c r="N72" s="5077"/>
      <c r="O72" s="5077"/>
      <c r="P72" s="5077"/>
      <c r="Q72" s="5077"/>
      <c r="R72" s="5077"/>
      <c r="S72" s="5077"/>
      <c r="T72" s="5078"/>
      <c r="U72" s="638"/>
      <c r="V72" s="453"/>
      <c r="W72" s="453"/>
      <c r="X72" s="453"/>
      <c r="Y72" s="453"/>
      <c r="Z72" s="453"/>
      <c r="AA72" s="638"/>
      <c r="AB72" s="638"/>
      <c r="AC72" s="690">
        <f t="shared" si="45"/>
        <v>0</v>
      </c>
      <c r="AD72" s="690"/>
      <c r="AE72" s="626"/>
      <c r="AF72" s="721">
        <f>'Beer Data Sheet'!Z46*$L$8/100</f>
        <v>228.75</v>
      </c>
      <c r="AG72" s="724">
        <f t="shared" si="47"/>
        <v>0.75</v>
      </c>
      <c r="AH72" s="721">
        <f>'Beer Data Sheet'!AD46</f>
        <v>2.13</v>
      </c>
      <c r="AI72" s="725">
        <f t="shared" si="48"/>
        <v>0</v>
      </c>
      <c r="AJ72" s="690">
        <f t="shared" si="51"/>
        <v>0</v>
      </c>
      <c r="AK72" s="726">
        <f t="shared" si="52"/>
        <v>0</v>
      </c>
      <c r="AL72" s="690"/>
      <c r="AM72" s="690"/>
      <c r="AN72" s="626"/>
      <c r="AO72" s="626"/>
      <c r="AP72" s="690"/>
      <c r="AQ72" s="692"/>
      <c r="AR72" s="692"/>
      <c r="AS72" s="692"/>
      <c r="AT72" s="692"/>
      <c r="AU72" s="692"/>
      <c r="AV72" s="692"/>
      <c r="AW72" s="692"/>
      <c r="AX72" s="692"/>
      <c r="AY72" s="692"/>
      <c r="AZ72" s="692"/>
      <c r="BA72" s="453"/>
    </row>
    <row r="73" spans="1:53" ht="15.75" customHeight="1">
      <c r="A73" s="5105"/>
      <c r="B73" s="2697" t="str">
        <f>'Beer Data Sheet'!Y47</f>
        <v>Oats</v>
      </c>
      <c r="C73" s="2249"/>
      <c r="D73" s="727" t="s">
        <v>40</v>
      </c>
      <c r="E73" s="2255">
        <f t="shared" si="46"/>
        <v>0</v>
      </c>
      <c r="F73" s="728" t="s">
        <v>40</v>
      </c>
      <c r="G73" s="2682" t="str">
        <f>'Beer Data Sheet'!Y15</f>
        <v>Goldings (Worc.)</v>
      </c>
      <c r="H73" s="2683">
        <f>'Beer Data Sheet'!Z15</f>
        <v>5</v>
      </c>
      <c r="I73" s="2250"/>
      <c r="J73" s="2265">
        <f t="shared" si="44"/>
        <v>0</v>
      </c>
      <c r="K73" s="641"/>
      <c r="L73" s="5076"/>
      <c r="M73" s="5077"/>
      <c r="N73" s="5077"/>
      <c r="O73" s="5077"/>
      <c r="P73" s="5077"/>
      <c r="Q73" s="5077"/>
      <c r="R73" s="5077"/>
      <c r="S73" s="5077"/>
      <c r="T73" s="5078"/>
      <c r="U73" s="555"/>
      <c r="V73" s="453"/>
      <c r="W73" s="453"/>
      <c r="X73" s="453"/>
      <c r="Y73" s="453"/>
      <c r="Z73" s="453"/>
      <c r="AA73" s="555"/>
      <c r="AB73" s="638"/>
      <c r="AC73" s="690">
        <f t="shared" si="45"/>
        <v>0</v>
      </c>
      <c r="AD73" s="717"/>
      <c r="AE73" s="626"/>
      <c r="AF73" s="721">
        <f>'Beer Data Sheet'!Z47*$L$8/100</f>
        <v>187.5</v>
      </c>
      <c r="AG73" s="724">
        <f t="shared" si="47"/>
        <v>0.75</v>
      </c>
      <c r="AH73" s="721">
        <f>'Beer Data Sheet'!AD47</f>
        <v>1.0649999999999999</v>
      </c>
      <c r="AI73" s="725">
        <f t="shared" si="48"/>
        <v>0</v>
      </c>
      <c r="AJ73" s="690">
        <f t="shared" si="51"/>
        <v>0</v>
      </c>
      <c r="AK73" s="726">
        <f t="shared" si="52"/>
        <v>0</v>
      </c>
      <c r="AL73" s="690"/>
      <c r="AM73" s="690"/>
      <c r="AN73" s="626"/>
      <c r="AO73" s="626"/>
      <c r="AP73" s="690"/>
      <c r="AQ73" s="692"/>
      <c r="AR73" s="692"/>
      <c r="AS73" s="692"/>
      <c r="AT73" s="692"/>
      <c r="AU73" s="692"/>
      <c r="AV73" s="692"/>
      <c r="AW73" s="692"/>
      <c r="AX73" s="692"/>
      <c r="AY73" s="692"/>
      <c r="AZ73" s="692"/>
      <c r="BA73" s="453"/>
    </row>
    <row r="74" spans="1:53" ht="15.75" customHeight="1">
      <c r="A74" s="5110" t="s">
        <v>338</v>
      </c>
      <c r="B74" s="2698" t="str">
        <f>'Beer Data Sheet'!Y48</f>
        <v>Extract (LIQUID - light)</v>
      </c>
      <c r="C74" s="2249">
        <v>3600</v>
      </c>
      <c r="D74" s="729" t="s">
        <v>40</v>
      </c>
      <c r="E74" s="2255">
        <f>C74*E$66/C$66</f>
        <v>1500</v>
      </c>
      <c r="F74" s="730" t="s">
        <v>40</v>
      </c>
      <c r="G74" s="2682" t="str">
        <f>'Beer Data Sheet'!Y16</f>
        <v>Hallertauer ("German")</v>
      </c>
      <c r="H74" s="2683">
        <f>'Beer Data Sheet'!Z16</f>
        <v>2</v>
      </c>
      <c r="I74" s="2250"/>
      <c r="J74" s="2265">
        <f t="shared" si="44"/>
        <v>0</v>
      </c>
      <c r="K74" s="641"/>
      <c r="L74" s="5076"/>
      <c r="M74" s="5077"/>
      <c r="N74" s="5077"/>
      <c r="O74" s="5077"/>
      <c r="P74" s="5077"/>
      <c r="Q74" s="5077"/>
      <c r="R74" s="5077"/>
      <c r="S74" s="5077"/>
      <c r="T74" s="5078"/>
      <c r="U74" s="638"/>
      <c r="V74" s="453"/>
      <c r="W74" s="453"/>
      <c r="X74" s="453"/>
      <c r="Y74" s="453"/>
      <c r="Z74" s="453"/>
      <c r="AA74" s="638"/>
      <c r="AB74" s="638"/>
      <c r="AC74" s="690">
        <f t="shared" si="45"/>
        <v>0</v>
      </c>
      <c r="AD74" s="717"/>
      <c r="AE74" s="626"/>
      <c r="AF74" s="2655">
        <f>'Beer Data Sheet'!Z48</f>
        <v>310</v>
      </c>
      <c r="AG74" s="724">
        <f t="shared" si="47"/>
        <v>0.75</v>
      </c>
      <c r="AH74" s="721">
        <f>'Beer Data Sheet'!AD48</f>
        <v>10</v>
      </c>
      <c r="AI74" s="725">
        <f t="shared" si="48"/>
        <v>1116</v>
      </c>
      <c r="AJ74" s="690">
        <f t="shared" si="51"/>
        <v>837</v>
      </c>
      <c r="AK74" s="726">
        <f t="shared" si="52"/>
        <v>360</v>
      </c>
      <c r="AL74" s="690"/>
      <c r="AM74" s="690"/>
      <c r="AN74" s="626"/>
      <c r="AO74" s="626"/>
      <c r="AP74" s="690"/>
      <c r="AQ74" s="692"/>
      <c r="AR74" s="692"/>
      <c r="AS74" s="692"/>
      <c r="AT74" s="692"/>
      <c r="AU74" s="692"/>
      <c r="AV74" s="692"/>
      <c r="AW74" s="692"/>
      <c r="AX74" s="692"/>
      <c r="AY74" s="692"/>
      <c r="AZ74" s="692"/>
      <c r="BA74" s="453"/>
    </row>
    <row r="75" spans="1:53" ht="15.75" customHeight="1">
      <c r="A75" s="5110"/>
      <c r="B75" s="2698" t="str">
        <f>'Beer Data Sheet'!Y49</f>
        <v>Extract (DRY - light)</v>
      </c>
      <c r="C75" s="2249"/>
      <c r="D75" s="729" t="s">
        <v>40</v>
      </c>
      <c r="E75" s="2255">
        <f>C75*E$66/C$66</f>
        <v>0</v>
      </c>
      <c r="F75" s="730" t="s">
        <v>40</v>
      </c>
      <c r="G75" s="2682" t="str">
        <f>'Beer Data Sheet'!Y17</f>
        <v>Hallertauer ("Pacific")</v>
      </c>
      <c r="H75" s="2683">
        <f>'Beer Data Sheet'!Z17</f>
        <v>6.7</v>
      </c>
      <c r="I75" s="2250"/>
      <c r="J75" s="2265">
        <f t="shared" ref="J75:J80" si="53">I75*E$66/C$66</f>
        <v>0</v>
      </c>
      <c r="K75" s="641"/>
      <c r="L75" s="5076"/>
      <c r="M75" s="5077"/>
      <c r="N75" s="5077"/>
      <c r="O75" s="5077"/>
      <c r="P75" s="5077"/>
      <c r="Q75" s="5077"/>
      <c r="R75" s="5077"/>
      <c r="S75" s="5077"/>
      <c r="T75" s="5078"/>
      <c r="U75" s="638"/>
      <c r="V75" s="453"/>
      <c r="W75" s="453"/>
      <c r="X75" s="453"/>
      <c r="Y75" s="453"/>
      <c r="Z75" s="453"/>
      <c r="AA75" s="638"/>
      <c r="AB75" s="638"/>
      <c r="AC75" s="690">
        <f>2*H75*I75</f>
        <v>0</v>
      </c>
      <c r="AD75" s="717"/>
      <c r="AE75" s="626"/>
      <c r="AF75" s="2655">
        <f>'Beer Data Sheet'!Z49</f>
        <v>365</v>
      </c>
      <c r="AG75" s="724">
        <f>C$91/100</f>
        <v>0.75</v>
      </c>
      <c r="AH75" s="721">
        <f>'Beer Data Sheet'!AD49</f>
        <v>11</v>
      </c>
      <c r="AI75" s="725">
        <f t="shared" si="48"/>
        <v>0</v>
      </c>
      <c r="AJ75" s="690">
        <f t="shared" si="51"/>
        <v>0</v>
      </c>
      <c r="AK75" s="726">
        <f t="shared" si="52"/>
        <v>0</v>
      </c>
      <c r="AL75" s="690"/>
      <c r="AM75" s="690"/>
      <c r="AN75" s="626"/>
      <c r="AO75" s="626"/>
      <c r="AP75" s="690"/>
      <c r="AQ75" s="692"/>
      <c r="AR75" s="692"/>
      <c r="AS75" s="692"/>
      <c r="AT75" s="692"/>
      <c r="AU75" s="692"/>
      <c r="AV75" s="692"/>
      <c r="AW75" s="692"/>
      <c r="AX75" s="692"/>
      <c r="AY75" s="692"/>
      <c r="AZ75" s="692"/>
      <c r="BA75" s="453"/>
    </row>
    <row r="76" spans="1:53" ht="15.75" customHeight="1">
      <c r="A76" s="5110"/>
      <c r="B76" s="2698" t="str">
        <f>'Beer Data Sheet'!Y50</f>
        <v>Extract (LIQUID - wheat)</v>
      </c>
      <c r="C76" s="2249"/>
      <c r="D76" s="729" t="s">
        <v>40</v>
      </c>
      <c r="E76" s="2255">
        <f>C76*E$66/C$66</f>
        <v>0</v>
      </c>
      <c r="F76" s="730" t="s">
        <v>40</v>
      </c>
      <c r="G76" s="2682" t="str">
        <f>'Beer Data Sheet'!Y18</f>
        <v>Liberty</v>
      </c>
      <c r="H76" s="2683">
        <f>'Beer Data Sheet'!Z18</f>
        <v>4</v>
      </c>
      <c r="I76" s="2250"/>
      <c r="J76" s="2265">
        <f t="shared" si="53"/>
        <v>0</v>
      </c>
      <c r="K76" s="641"/>
      <c r="L76" s="5076"/>
      <c r="M76" s="5077"/>
      <c r="N76" s="5077"/>
      <c r="O76" s="5077"/>
      <c r="P76" s="5077"/>
      <c r="Q76" s="5077"/>
      <c r="R76" s="5077"/>
      <c r="S76" s="5077"/>
      <c r="T76" s="5078"/>
      <c r="U76" s="638"/>
      <c r="V76" s="453"/>
      <c r="W76" s="453"/>
      <c r="X76" s="453"/>
      <c r="Y76" s="453"/>
      <c r="Z76" s="453"/>
      <c r="AA76" s="638"/>
      <c r="AB76" s="638"/>
      <c r="AC76" s="690">
        <f>2*H76*I76</f>
        <v>0</v>
      </c>
      <c r="AD76" s="717"/>
      <c r="AE76" s="626"/>
      <c r="AF76" s="2655">
        <f>'Beer Data Sheet'!Z50</f>
        <v>366</v>
      </c>
      <c r="AG76" s="724">
        <f>C$91/100</f>
        <v>0.75</v>
      </c>
      <c r="AH76" s="721">
        <f>'Beer Data Sheet'!AD50</f>
        <v>11</v>
      </c>
      <c r="AI76" s="725">
        <f t="shared" si="48"/>
        <v>0</v>
      </c>
      <c r="AJ76" s="690">
        <f t="shared" si="51"/>
        <v>0</v>
      </c>
      <c r="AK76" s="726">
        <f t="shared" si="52"/>
        <v>0</v>
      </c>
      <c r="AL76" s="690"/>
      <c r="AM76" s="690"/>
      <c r="AN76" s="626"/>
      <c r="AO76" s="626"/>
      <c r="AP76" s="690"/>
      <c r="AQ76" s="692"/>
      <c r="AR76" s="692"/>
      <c r="AS76" s="692"/>
      <c r="AT76" s="692"/>
      <c r="AU76" s="692"/>
      <c r="AV76" s="692"/>
      <c r="AW76" s="692"/>
      <c r="AX76" s="692"/>
      <c r="AY76" s="692"/>
      <c r="AZ76" s="692"/>
      <c r="BA76" s="453"/>
    </row>
    <row r="77" spans="1:53" ht="15.75" customHeight="1">
      <c r="A77" s="5111" t="s">
        <v>128</v>
      </c>
      <c r="B77" s="2699" t="str">
        <f>'Beer Data Sheet'!Y51</f>
        <v>Black</v>
      </c>
      <c r="C77" s="2249"/>
      <c r="D77" s="731" t="s">
        <v>40</v>
      </c>
      <c r="E77" s="2255">
        <f t="shared" si="46"/>
        <v>0</v>
      </c>
      <c r="F77" s="732" t="s">
        <v>40</v>
      </c>
      <c r="G77" s="2682" t="str">
        <f>'Beer Data Sheet'!Y19</f>
        <v>Lublin</v>
      </c>
      <c r="H77" s="2683">
        <f>'Beer Data Sheet'!Z19</f>
        <v>3</v>
      </c>
      <c r="I77" s="2250"/>
      <c r="J77" s="2265">
        <f t="shared" si="53"/>
        <v>0</v>
      </c>
      <c r="K77" s="641"/>
      <c r="L77" s="5076"/>
      <c r="M77" s="5077"/>
      <c r="N77" s="5077"/>
      <c r="O77" s="5077"/>
      <c r="P77" s="5077"/>
      <c r="Q77" s="5077"/>
      <c r="R77" s="5077"/>
      <c r="S77" s="5077"/>
      <c r="T77" s="5078"/>
      <c r="U77" s="638"/>
      <c r="V77" s="453"/>
      <c r="W77" s="453"/>
      <c r="X77" s="453"/>
      <c r="Y77" s="453"/>
      <c r="Z77" s="453"/>
      <c r="AA77" s="638"/>
      <c r="AB77" s="638"/>
      <c r="AC77" s="690">
        <f t="shared" si="45"/>
        <v>0</v>
      </c>
      <c r="AD77" s="692"/>
      <c r="AE77" s="626"/>
      <c r="AF77" s="721">
        <f>'Beer Data Sheet'!Z51*$L$8/100</f>
        <v>198.75</v>
      </c>
      <c r="AG77" s="724">
        <f t="shared" si="47"/>
        <v>0.75</v>
      </c>
      <c r="AH77" s="721">
        <f>'Beer Data Sheet'!AD51</f>
        <v>908.8</v>
      </c>
      <c r="AI77" s="725">
        <f t="shared" si="48"/>
        <v>0</v>
      </c>
      <c r="AJ77" s="690">
        <f t="shared" si="51"/>
        <v>0</v>
      </c>
      <c r="AK77" s="726">
        <f t="shared" si="52"/>
        <v>0</v>
      </c>
      <c r="AL77" s="690"/>
      <c r="AM77" s="690"/>
      <c r="AN77" s="626"/>
      <c r="AO77" s="626"/>
      <c r="AP77" s="690"/>
      <c r="AQ77" s="692"/>
      <c r="AR77" s="692"/>
      <c r="AS77" s="692"/>
      <c r="AT77" s="692"/>
      <c r="AU77" s="692"/>
      <c r="AV77" s="692"/>
      <c r="AW77" s="692"/>
      <c r="AX77" s="692"/>
      <c r="AY77" s="692"/>
      <c r="AZ77" s="692"/>
      <c r="BA77" s="453"/>
    </row>
    <row r="78" spans="1:53" ht="15.75" customHeight="1">
      <c r="A78" s="5111"/>
      <c r="B78" s="2699" t="str">
        <f>'Beer Data Sheet'!Y52</f>
        <v>Chocolate</v>
      </c>
      <c r="C78" s="2249">
        <v>90</v>
      </c>
      <c r="D78" s="731" t="s">
        <v>40</v>
      </c>
      <c r="E78" s="2255">
        <f t="shared" si="46"/>
        <v>37.5</v>
      </c>
      <c r="F78" s="732" t="s">
        <v>40</v>
      </c>
      <c r="G78" s="2682" t="str">
        <f>'Beer Data Sheet'!Y20</f>
        <v>Magnum</v>
      </c>
      <c r="H78" s="2683">
        <f>'Beer Data Sheet'!Z20</f>
        <v>13</v>
      </c>
      <c r="I78" s="2250"/>
      <c r="J78" s="2265">
        <f t="shared" si="53"/>
        <v>0</v>
      </c>
      <c r="K78" s="641"/>
      <c r="L78" s="5076"/>
      <c r="M78" s="5077"/>
      <c r="N78" s="5077"/>
      <c r="O78" s="5077"/>
      <c r="P78" s="5077"/>
      <c r="Q78" s="5077"/>
      <c r="R78" s="5077"/>
      <c r="S78" s="5077"/>
      <c r="T78" s="5078"/>
      <c r="U78" s="638"/>
      <c r="V78" s="453"/>
      <c r="W78" s="453"/>
      <c r="X78" s="453"/>
      <c r="Y78" s="453"/>
      <c r="Z78" s="453"/>
      <c r="AA78" s="638"/>
      <c r="AB78" s="638"/>
      <c r="AC78" s="690">
        <f t="shared" si="45"/>
        <v>0</v>
      </c>
      <c r="AD78" s="690"/>
      <c r="AE78" s="626"/>
      <c r="AF78" s="721">
        <f>'Beer Data Sheet'!Z52*$L$8/100</f>
        <v>198.75</v>
      </c>
      <c r="AG78" s="724">
        <f t="shared" si="47"/>
        <v>0.75</v>
      </c>
      <c r="AH78" s="721">
        <f>'Beer Data Sheet'!AD52</f>
        <v>763.2</v>
      </c>
      <c r="AI78" s="725">
        <f t="shared" si="48"/>
        <v>17.887499999999999</v>
      </c>
      <c r="AJ78" s="690">
        <f t="shared" si="51"/>
        <v>13.415624999999999</v>
      </c>
      <c r="AK78" s="726">
        <f t="shared" si="52"/>
        <v>686.88</v>
      </c>
      <c r="AL78" s="690"/>
      <c r="AM78" s="690"/>
      <c r="AN78" s="626"/>
      <c r="AO78" s="626"/>
      <c r="AP78" s="690"/>
      <c r="AQ78" s="692"/>
      <c r="AR78" s="692"/>
      <c r="AS78" s="692"/>
      <c r="AT78" s="692"/>
      <c r="AU78" s="692"/>
      <c r="AV78" s="692"/>
      <c r="AW78" s="692"/>
      <c r="AX78" s="692"/>
      <c r="AY78" s="692"/>
      <c r="AZ78" s="692"/>
      <c r="BA78" s="453"/>
    </row>
    <row r="79" spans="1:53" ht="15.75" customHeight="1">
      <c r="A79" s="5111"/>
      <c r="B79" s="2699" t="str">
        <f>'Beer Data Sheet'!Y53</f>
        <v>Crystal (light)</v>
      </c>
      <c r="C79" s="2249"/>
      <c r="D79" s="731" t="s">
        <v>40</v>
      </c>
      <c r="E79" s="2255">
        <f t="shared" si="46"/>
        <v>0</v>
      </c>
      <c r="F79" s="732" t="s">
        <v>40</v>
      </c>
      <c r="G79" s="2682" t="str">
        <f>'Beer Data Sheet'!Y21</f>
        <v>Northdown</v>
      </c>
      <c r="H79" s="2683">
        <f>'Beer Data Sheet'!Z21</f>
        <v>8</v>
      </c>
      <c r="I79" s="2250"/>
      <c r="J79" s="2265">
        <f t="shared" si="53"/>
        <v>0</v>
      </c>
      <c r="K79" s="641"/>
      <c r="L79" s="5076"/>
      <c r="M79" s="5077"/>
      <c r="N79" s="5077"/>
      <c r="O79" s="5077"/>
      <c r="P79" s="5077"/>
      <c r="Q79" s="5077"/>
      <c r="R79" s="5077"/>
      <c r="S79" s="5077"/>
      <c r="T79" s="5078"/>
      <c r="U79" s="638"/>
      <c r="V79" s="453"/>
      <c r="W79" s="453"/>
      <c r="X79" s="453"/>
      <c r="Y79" s="453"/>
      <c r="Z79" s="453"/>
      <c r="AA79" s="638"/>
      <c r="AB79" s="638"/>
      <c r="AC79" s="690">
        <f t="shared" si="45"/>
        <v>0</v>
      </c>
      <c r="AD79" s="690"/>
      <c r="AE79" s="626"/>
      <c r="AF79" s="721">
        <f>'Beer Data Sheet'!Z53*$L$8/100</f>
        <v>198.75</v>
      </c>
      <c r="AG79" s="724">
        <f t="shared" si="47"/>
        <v>0.75</v>
      </c>
      <c r="AH79" s="721">
        <f>'Beer Data Sheet'!AD53</f>
        <v>77.7</v>
      </c>
      <c r="AI79" s="725">
        <f t="shared" si="48"/>
        <v>0</v>
      </c>
      <c r="AJ79" s="690">
        <f t="shared" si="51"/>
        <v>0</v>
      </c>
      <c r="AK79" s="726">
        <f t="shared" si="52"/>
        <v>0</v>
      </c>
      <c r="AL79" s="690"/>
      <c r="AM79" s="690"/>
      <c r="AN79" s="626"/>
      <c r="AO79" s="626"/>
      <c r="AP79" s="690"/>
      <c r="AQ79" s="692"/>
      <c r="AR79" s="692"/>
      <c r="AS79" s="692"/>
      <c r="AT79" s="692"/>
      <c r="AU79" s="692"/>
      <c r="AV79" s="692"/>
      <c r="AW79" s="692"/>
      <c r="AX79" s="692"/>
      <c r="AY79" s="692"/>
      <c r="AZ79" s="692"/>
      <c r="BA79" s="453"/>
    </row>
    <row r="80" spans="1:53" ht="15.75" customHeight="1">
      <c r="A80" s="5111"/>
      <c r="B80" s="2699" t="str">
        <f>'Beer Data Sheet'!Y54</f>
        <v>Crystal (medium)</v>
      </c>
      <c r="C80" s="2249"/>
      <c r="D80" s="731" t="s">
        <v>40</v>
      </c>
      <c r="E80" s="2255">
        <f t="shared" si="46"/>
        <v>0</v>
      </c>
      <c r="F80" s="732" t="s">
        <v>40</v>
      </c>
      <c r="G80" s="2682" t="str">
        <f>'Beer Data Sheet'!Y22</f>
        <v>Progress</v>
      </c>
      <c r="H80" s="2683">
        <f>'Beer Data Sheet'!Z22</f>
        <v>5</v>
      </c>
      <c r="I80" s="2250"/>
      <c r="J80" s="2265">
        <f t="shared" si="53"/>
        <v>0</v>
      </c>
      <c r="K80" s="641"/>
      <c r="L80" s="5076"/>
      <c r="M80" s="5077"/>
      <c r="N80" s="5077"/>
      <c r="O80" s="5077"/>
      <c r="P80" s="5077"/>
      <c r="Q80" s="5077"/>
      <c r="R80" s="5077"/>
      <c r="S80" s="5077"/>
      <c r="T80" s="5078"/>
      <c r="U80" s="638"/>
      <c r="V80" s="638"/>
      <c r="W80" s="638"/>
      <c r="X80" s="638"/>
      <c r="Y80" s="638"/>
      <c r="Z80" s="638"/>
      <c r="AA80" s="638"/>
      <c r="AB80" s="638"/>
      <c r="AC80" s="690">
        <f t="shared" si="45"/>
        <v>0</v>
      </c>
      <c r="AD80" s="690"/>
      <c r="AE80" s="626"/>
      <c r="AF80" s="721">
        <f>'Beer Data Sheet'!Z54*$L$8/100</f>
        <v>198.75</v>
      </c>
      <c r="AG80" s="724">
        <f t="shared" si="47"/>
        <v>0.75</v>
      </c>
      <c r="AH80" s="721">
        <f>'Beer Data Sheet'!AD54</f>
        <v>103.6</v>
      </c>
      <c r="AI80" s="725">
        <f t="shared" si="48"/>
        <v>0</v>
      </c>
      <c r="AJ80" s="690">
        <f t="shared" si="51"/>
        <v>0</v>
      </c>
      <c r="AK80" s="726">
        <f t="shared" si="52"/>
        <v>0</v>
      </c>
      <c r="AL80" s="690"/>
      <c r="AM80" s="690"/>
      <c r="AN80" s="626"/>
      <c r="AO80" s="626"/>
      <c r="AP80" s="690"/>
      <c r="AQ80" s="692"/>
      <c r="AR80" s="692"/>
      <c r="AS80" s="692"/>
      <c r="AT80" s="692"/>
      <c r="AU80" s="692"/>
      <c r="AV80" s="692"/>
      <c r="AW80" s="692"/>
      <c r="AX80" s="692"/>
      <c r="AY80" s="692"/>
      <c r="AZ80" s="692"/>
      <c r="BA80" s="453"/>
    </row>
    <row r="81" spans="1:53" ht="15.75" customHeight="1">
      <c r="A81" s="5111"/>
      <c r="B81" s="2699" t="str">
        <f>'Beer Data Sheet'!Y55</f>
        <v>Crystal (dark)</v>
      </c>
      <c r="C81" s="2249"/>
      <c r="D81" s="731" t="s">
        <v>40</v>
      </c>
      <c r="E81" s="2255">
        <f t="shared" si="46"/>
        <v>0</v>
      </c>
      <c r="F81" s="732" t="s">
        <v>40</v>
      </c>
      <c r="G81" s="2682" t="str">
        <f>'Beer Data Sheet'!Y23</f>
        <v>Saaz</v>
      </c>
      <c r="H81" s="2683">
        <f>'Beer Data Sheet'!Z23</f>
        <v>2.2000000000000002</v>
      </c>
      <c r="I81" s="2250"/>
      <c r="J81" s="2265">
        <f t="shared" ref="J81:J90" si="54">I81*E$66/C$66</f>
        <v>0</v>
      </c>
      <c r="K81" s="641"/>
      <c r="L81" s="5076"/>
      <c r="M81" s="5077"/>
      <c r="N81" s="5077"/>
      <c r="O81" s="5077"/>
      <c r="P81" s="5077"/>
      <c r="Q81" s="5077"/>
      <c r="R81" s="5077"/>
      <c r="S81" s="5077"/>
      <c r="T81" s="5078"/>
      <c r="U81" s="638"/>
      <c r="V81" s="638"/>
      <c r="W81" s="638"/>
      <c r="X81" s="638"/>
      <c r="Y81" s="638"/>
      <c r="Z81" s="638"/>
      <c r="AA81" s="638"/>
      <c r="AB81" s="638"/>
      <c r="AC81" s="690">
        <f t="shared" si="45"/>
        <v>0</v>
      </c>
      <c r="AD81" s="690"/>
      <c r="AE81" s="626"/>
      <c r="AF81" s="721">
        <f>'Beer Data Sheet'!Z55*$L$8/100</f>
        <v>199.5</v>
      </c>
      <c r="AG81" s="724">
        <f t="shared" si="47"/>
        <v>0.75</v>
      </c>
      <c r="AH81" s="721">
        <f>'Beer Data Sheet'!AD55</f>
        <v>148</v>
      </c>
      <c r="AI81" s="725">
        <f t="shared" si="48"/>
        <v>0</v>
      </c>
      <c r="AJ81" s="690">
        <f t="shared" si="51"/>
        <v>0</v>
      </c>
      <c r="AK81" s="726">
        <f t="shared" si="52"/>
        <v>0</v>
      </c>
      <c r="AL81" s="690"/>
      <c r="AM81" s="690"/>
      <c r="AN81" s="626"/>
      <c r="AO81" s="626"/>
      <c r="AP81" s="690"/>
      <c r="AQ81" s="692"/>
      <c r="AR81" s="692"/>
      <c r="AS81" s="692"/>
      <c r="AT81" s="692"/>
      <c r="AU81" s="692"/>
      <c r="AV81" s="692"/>
      <c r="AW81" s="692"/>
      <c r="AX81" s="692"/>
      <c r="AY81" s="692"/>
      <c r="AZ81" s="692"/>
      <c r="BA81" s="453"/>
    </row>
    <row r="82" spans="1:53" ht="15.75" customHeight="1">
      <c r="A82" s="5111"/>
      <c r="B82" s="2699" t="str">
        <f>'Beer Data Sheet'!Y56</f>
        <v>Roast barley</v>
      </c>
      <c r="C82" s="2249"/>
      <c r="D82" s="731" t="s">
        <v>40</v>
      </c>
      <c r="E82" s="2255">
        <f t="shared" si="46"/>
        <v>0</v>
      </c>
      <c r="F82" s="732" t="s">
        <v>40</v>
      </c>
      <c r="G82" s="2682" t="str">
        <f>'Beer Data Sheet'!Y24</f>
        <v>Styrian Goldings</v>
      </c>
      <c r="H82" s="2683">
        <f>'Beer Data Sheet'!Z24</f>
        <v>5.5</v>
      </c>
      <c r="I82" s="2250">
        <v>55</v>
      </c>
      <c r="J82" s="2265">
        <f t="shared" si="54"/>
        <v>22.916666666666668</v>
      </c>
      <c r="K82" s="641"/>
      <c r="L82" s="5076"/>
      <c r="M82" s="5077"/>
      <c r="N82" s="5077"/>
      <c r="O82" s="5077"/>
      <c r="P82" s="5077"/>
      <c r="Q82" s="5077"/>
      <c r="R82" s="5077"/>
      <c r="S82" s="5077"/>
      <c r="T82" s="5078"/>
      <c r="U82" s="638"/>
      <c r="V82" s="638"/>
      <c r="W82" s="638"/>
      <c r="X82" s="638"/>
      <c r="Y82" s="638"/>
      <c r="Z82" s="638"/>
      <c r="AA82" s="638"/>
      <c r="AB82" s="638"/>
      <c r="AC82" s="690">
        <f t="shared" si="45"/>
        <v>605</v>
      </c>
      <c r="AD82" s="690"/>
      <c r="AE82" s="626"/>
      <c r="AF82" s="721">
        <f>'Beer Data Sheet'!Z56*$L$8/100</f>
        <v>198.75</v>
      </c>
      <c r="AG82" s="724">
        <f t="shared" si="47"/>
        <v>0.75</v>
      </c>
      <c r="AH82" s="721">
        <f>'Beer Data Sheet'!AD56</f>
        <v>902.8</v>
      </c>
      <c r="AI82" s="725">
        <f t="shared" si="48"/>
        <v>0</v>
      </c>
      <c r="AJ82" s="690">
        <f t="shared" si="51"/>
        <v>0</v>
      </c>
      <c r="AK82" s="726">
        <f t="shared" si="52"/>
        <v>0</v>
      </c>
      <c r="AL82" s="690"/>
      <c r="AM82" s="690"/>
      <c r="AN82" s="626"/>
      <c r="AO82" s="626"/>
      <c r="AP82" s="690"/>
      <c r="AQ82" s="692"/>
      <c r="AR82" s="692"/>
      <c r="AS82" s="692"/>
      <c r="AT82" s="692"/>
      <c r="AU82" s="692"/>
      <c r="AV82" s="692"/>
      <c r="AW82" s="692"/>
      <c r="AX82" s="692"/>
      <c r="AY82" s="692"/>
      <c r="AZ82" s="692"/>
      <c r="BA82" s="453"/>
    </row>
    <row r="83" spans="1:53" ht="15.75" customHeight="1">
      <c r="A83" s="5112" t="s">
        <v>143</v>
      </c>
      <c r="B83" s="2700" t="str">
        <f>'Beer Data Sheet'!Y57</f>
        <v>Cane ̸ beet sugar (sucrose)</v>
      </c>
      <c r="C83" s="2249">
        <v>500</v>
      </c>
      <c r="D83" s="734" t="s">
        <v>40</v>
      </c>
      <c r="E83" s="2255">
        <f t="shared" si="46"/>
        <v>208.33333333333334</v>
      </c>
      <c r="F83" s="735" t="s">
        <v>40</v>
      </c>
      <c r="G83" s="2682" t="str">
        <f>'Beer Data Sheet'!Y25</f>
        <v>Target</v>
      </c>
      <c r="H83" s="2683">
        <f>'Beer Data Sheet'!Z25</f>
        <v>11.2</v>
      </c>
      <c r="I83" s="2250"/>
      <c r="J83" s="2265">
        <f t="shared" si="54"/>
        <v>0</v>
      </c>
      <c r="K83" s="698"/>
      <c r="L83" s="5076"/>
      <c r="M83" s="5077"/>
      <c r="N83" s="5077"/>
      <c r="O83" s="5077"/>
      <c r="P83" s="5077"/>
      <c r="Q83" s="5077"/>
      <c r="R83" s="5077"/>
      <c r="S83" s="5077"/>
      <c r="T83" s="5078"/>
      <c r="U83" s="638"/>
      <c r="V83" s="638"/>
      <c r="W83" s="638"/>
      <c r="X83" s="638"/>
      <c r="Y83" s="638"/>
      <c r="Z83" s="638"/>
      <c r="AA83" s="638"/>
      <c r="AB83" s="638"/>
      <c r="AC83" s="690">
        <f t="shared" si="45"/>
        <v>0</v>
      </c>
      <c r="AD83" s="690"/>
      <c r="AE83" s="626"/>
      <c r="AF83" s="721">
        <f>'Beer Data Sheet'!Z57</f>
        <v>375</v>
      </c>
      <c r="AG83" s="690">
        <f>'Beer Data Sheet'!AA57</f>
        <v>1</v>
      </c>
      <c r="AH83" s="721">
        <f>'Beer Data Sheet'!AD57</f>
        <v>0</v>
      </c>
      <c r="AI83" s="725">
        <f t="shared" si="48"/>
        <v>187.5</v>
      </c>
      <c r="AJ83" s="690">
        <f t="shared" si="51"/>
        <v>187.5</v>
      </c>
      <c r="AK83" s="726">
        <f t="shared" si="52"/>
        <v>0</v>
      </c>
      <c r="AL83" s="690"/>
      <c r="AM83" s="690"/>
      <c r="AN83" s="626"/>
      <c r="AO83" s="626"/>
      <c r="AP83" s="690"/>
      <c r="AQ83" s="692"/>
      <c r="AR83" s="733"/>
      <c r="AS83" s="733"/>
      <c r="AT83" s="692"/>
      <c r="AU83" s="692"/>
      <c r="AV83" s="692"/>
      <c r="AW83" s="692"/>
      <c r="AX83" s="692"/>
      <c r="AY83" s="692"/>
      <c r="AZ83" s="692"/>
      <c r="BA83" s="453"/>
    </row>
    <row r="84" spans="1:53" ht="15.75" customHeight="1">
      <c r="A84" s="5112"/>
      <c r="B84" s="2700" t="str">
        <f>'Beer Data Sheet'!Y58</f>
        <v>Brown sugar (light)</v>
      </c>
      <c r="C84" s="2249"/>
      <c r="D84" s="734" t="s">
        <v>40</v>
      </c>
      <c r="E84" s="2255">
        <f t="shared" si="46"/>
        <v>0</v>
      </c>
      <c r="F84" s="735" t="s">
        <v>40</v>
      </c>
      <c r="G84" s="2682" t="str">
        <f>'Beer Data Sheet'!Y26</f>
        <v>WGV</v>
      </c>
      <c r="H84" s="2683">
        <f>'Beer Data Sheet'!Z26</f>
        <v>6.3</v>
      </c>
      <c r="I84" s="2250"/>
      <c r="J84" s="2265">
        <f t="shared" si="54"/>
        <v>0</v>
      </c>
      <c r="K84" s="698"/>
      <c r="L84" s="5076"/>
      <c r="M84" s="5077"/>
      <c r="N84" s="5077"/>
      <c r="O84" s="5077"/>
      <c r="P84" s="5077"/>
      <c r="Q84" s="5077"/>
      <c r="R84" s="5077"/>
      <c r="S84" s="5077"/>
      <c r="T84" s="5078"/>
      <c r="U84" s="638"/>
      <c r="V84" s="638"/>
      <c r="W84" s="638"/>
      <c r="X84" s="638"/>
      <c r="Y84" s="638"/>
      <c r="Z84" s="638"/>
      <c r="AA84" s="638"/>
      <c r="AB84" s="638"/>
      <c r="AC84" s="690">
        <f t="shared" si="45"/>
        <v>0</v>
      </c>
      <c r="AD84" s="690"/>
      <c r="AE84" s="626"/>
      <c r="AF84" s="721">
        <f>'Beer Data Sheet'!Z58</f>
        <v>370</v>
      </c>
      <c r="AG84" s="690">
        <f>'Beer Data Sheet'!AA58</f>
        <v>1</v>
      </c>
      <c r="AH84" s="721">
        <f>'Beer Data Sheet'!AD58</f>
        <v>16</v>
      </c>
      <c r="AI84" s="725">
        <f t="shared" si="48"/>
        <v>0</v>
      </c>
      <c r="AJ84" s="690">
        <f t="shared" si="51"/>
        <v>0</v>
      </c>
      <c r="AK84" s="726">
        <f t="shared" si="52"/>
        <v>0</v>
      </c>
      <c r="AL84" s="690"/>
      <c r="AM84" s="690"/>
      <c r="AN84" s="626"/>
      <c r="AO84" s="626"/>
      <c r="AP84" s="690"/>
      <c r="AQ84" s="692"/>
      <c r="AR84" s="733"/>
      <c r="AS84" s="733"/>
      <c r="AT84" s="692"/>
      <c r="AU84" s="692"/>
      <c r="AV84" s="692"/>
      <c r="AW84" s="692"/>
      <c r="AX84" s="692"/>
      <c r="AY84" s="692"/>
      <c r="AZ84" s="692"/>
      <c r="BA84" s="453"/>
    </row>
    <row r="85" spans="1:53" ht="15.75" customHeight="1">
      <c r="A85" s="5112"/>
      <c r="B85" s="2700" t="str">
        <f>'Beer Data Sheet'!Y59</f>
        <v>Brown sugar (medium)</v>
      </c>
      <c r="C85" s="2249"/>
      <c r="D85" s="734" t="s">
        <v>40</v>
      </c>
      <c r="E85" s="2255">
        <f t="shared" si="46"/>
        <v>0</v>
      </c>
      <c r="F85" s="735" t="s">
        <v>40</v>
      </c>
      <c r="G85" s="2682" t="str">
        <f>'Beer Data Sheet'!Y27</f>
        <v xml:space="preserve">Other </v>
      </c>
      <c r="H85" s="2683">
        <f>'Beer Data Sheet'!Z27</f>
        <v>0</v>
      </c>
      <c r="I85" s="2250"/>
      <c r="J85" s="2265">
        <f t="shared" si="54"/>
        <v>0</v>
      </c>
      <c r="K85" s="868"/>
      <c r="L85" s="5076"/>
      <c r="M85" s="5077"/>
      <c r="N85" s="5077"/>
      <c r="O85" s="5077"/>
      <c r="P85" s="5077"/>
      <c r="Q85" s="5077"/>
      <c r="R85" s="5077"/>
      <c r="S85" s="5077"/>
      <c r="T85" s="5078"/>
      <c r="U85" s="638"/>
      <c r="V85" s="638"/>
      <c r="W85" s="638"/>
      <c r="X85" s="638"/>
      <c r="Y85" s="638"/>
      <c r="Z85" s="638"/>
      <c r="AA85" s="638"/>
      <c r="AB85" s="638"/>
      <c r="AC85" s="690">
        <f t="shared" si="45"/>
        <v>0</v>
      </c>
      <c r="AD85" s="690"/>
      <c r="AE85" s="626"/>
      <c r="AF85" s="721">
        <f>'Beer Data Sheet'!Z59</f>
        <v>370</v>
      </c>
      <c r="AG85" s="690">
        <f>'Beer Data Sheet'!AA59</f>
        <v>1</v>
      </c>
      <c r="AH85" s="721">
        <f>'Beer Data Sheet'!AD59</f>
        <v>45</v>
      </c>
      <c r="AI85" s="725">
        <f t="shared" si="48"/>
        <v>0</v>
      </c>
      <c r="AJ85" s="690">
        <f t="shared" si="51"/>
        <v>0</v>
      </c>
      <c r="AK85" s="726">
        <f t="shared" si="52"/>
        <v>0</v>
      </c>
      <c r="AL85" s="690"/>
      <c r="AM85" s="690"/>
      <c r="AN85" s="626"/>
      <c r="AO85" s="626"/>
      <c r="AP85" s="690"/>
      <c r="AQ85" s="692"/>
      <c r="AR85" s="733"/>
      <c r="AS85" s="733"/>
      <c r="AT85" s="692"/>
      <c r="AU85" s="692"/>
      <c r="AV85" s="692"/>
      <c r="AW85" s="692"/>
      <c r="AX85" s="692"/>
      <c r="AY85" s="692"/>
      <c r="AZ85" s="692"/>
      <c r="BA85" s="453"/>
    </row>
    <row r="86" spans="1:53" ht="15.75" customHeight="1">
      <c r="A86" s="5113"/>
      <c r="B86" s="2700" t="str">
        <f>'Beer Data Sheet'!Y60</f>
        <v>Brewing sugar</v>
      </c>
      <c r="C86" s="2249"/>
      <c r="D86" s="734" t="s">
        <v>40</v>
      </c>
      <c r="E86" s="2255">
        <f t="shared" si="46"/>
        <v>0</v>
      </c>
      <c r="F86" s="735" t="s">
        <v>40</v>
      </c>
      <c r="G86" s="2682" t="str">
        <f>'Beer Data Sheet'!Y28</f>
        <v xml:space="preserve">Other </v>
      </c>
      <c r="H86" s="2683">
        <f>'Beer Data Sheet'!Z28</f>
        <v>0</v>
      </c>
      <c r="I86" s="2250"/>
      <c r="J86" s="2265">
        <f t="shared" si="54"/>
        <v>0</v>
      </c>
      <c r="K86" s="868"/>
      <c r="L86" s="5076"/>
      <c r="M86" s="5077"/>
      <c r="N86" s="5077"/>
      <c r="O86" s="5077"/>
      <c r="P86" s="5077"/>
      <c r="Q86" s="5077"/>
      <c r="R86" s="5077"/>
      <c r="S86" s="5077"/>
      <c r="T86" s="5078"/>
      <c r="U86" s="638"/>
      <c r="V86" s="453"/>
      <c r="W86" s="453"/>
      <c r="X86" s="453"/>
      <c r="Y86" s="453"/>
      <c r="Z86" s="453"/>
      <c r="AA86" s="638"/>
      <c r="AB86" s="638"/>
      <c r="AC86" s="690">
        <f t="shared" si="45"/>
        <v>0</v>
      </c>
      <c r="AD86" s="690"/>
      <c r="AE86" s="626"/>
      <c r="AF86" s="721">
        <f>'Beer Data Sheet'!Z60</f>
        <v>360</v>
      </c>
      <c r="AG86" s="690">
        <f>'Beer Data Sheet'!AA60</f>
        <v>0.95</v>
      </c>
      <c r="AH86" s="721">
        <f>'Beer Data Sheet'!AD60</f>
        <v>0</v>
      </c>
      <c r="AI86" s="725">
        <f t="shared" si="48"/>
        <v>0</v>
      </c>
      <c r="AJ86" s="690">
        <f t="shared" si="51"/>
        <v>0</v>
      </c>
      <c r="AK86" s="726">
        <f t="shared" si="52"/>
        <v>0</v>
      </c>
      <c r="AL86" s="690"/>
      <c r="AM86" s="690"/>
      <c r="AN86" s="626"/>
      <c r="AO86" s="626"/>
      <c r="AP86" s="690"/>
      <c r="AQ86" s="692"/>
      <c r="AR86" s="733"/>
      <c r="AS86" s="733"/>
      <c r="AT86" s="692"/>
      <c r="AU86" s="692"/>
      <c r="AV86" s="692"/>
      <c r="AW86" s="692"/>
      <c r="AX86" s="692"/>
      <c r="AY86" s="692"/>
      <c r="AZ86" s="692"/>
      <c r="BA86" s="453"/>
    </row>
    <row r="87" spans="1:53" ht="15.75" customHeight="1">
      <c r="A87" s="5114"/>
      <c r="B87" s="3573" t="str">
        <f>'Beer Data Sheet'!Y61</f>
        <v>Lactose (non-fermentable sugar, no boil)</v>
      </c>
      <c r="C87" s="2249"/>
      <c r="D87" s="736" t="s">
        <v>40</v>
      </c>
      <c r="E87" s="2255">
        <f t="shared" si="46"/>
        <v>0</v>
      </c>
      <c r="F87" s="735" t="s">
        <v>40</v>
      </c>
      <c r="G87" s="2682" t="str">
        <f>'Beer Data Sheet'!Y29</f>
        <v xml:space="preserve">Other </v>
      </c>
      <c r="H87" s="2683">
        <f>'Beer Data Sheet'!Z29</f>
        <v>0</v>
      </c>
      <c r="I87" s="2250"/>
      <c r="J87" s="2265">
        <f t="shared" si="54"/>
        <v>0</v>
      </c>
      <c r="K87" s="453"/>
      <c r="L87" s="5076"/>
      <c r="M87" s="5077"/>
      <c r="N87" s="5077"/>
      <c r="O87" s="5077"/>
      <c r="P87" s="5077"/>
      <c r="Q87" s="5077"/>
      <c r="R87" s="5077"/>
      <c r="S87" s="5077"/>
      <c r="T87" s="5078"/>
      <c r="U87" s="638"/>
      <c r="V87" s="453"/>
      <c r="W87" s="453"/>
      <c r="X87" s="453"/>
      <c r="Y87" s="453"/>
      <c r="Z87" s="453"/>
      <c r="AA87" s="638"/>
      <c r="AB87" s="638"/>
      <c r="AC87" s="690">
        <f t="shared" si="45"/>
        <v>0</v>
      </c>
      <c r="AD87" s="690"/>
      <c r="AE87" s="626"/>
      <c r="AF87" s="721">
        <f>'Beer Data Sheet'!Z61</f>
        <v>380</v>
      </c>
      <c r="AG87" s="690">
        <f>'Beer Data Sheet'!AA61</f>
        <v>0</v>
      </c>
      <c r="AH87" s="721">
        <f>'Beer Data Sheet'!AD61</f>
        <v>30</v>
      </c>
      <c r="AI87" s="725">
        <f t="shared" si="48"/>
        <v>0</v>
      </c>
      <c r="AJ87" s="690">
        <f t="shared" si="51"/>
        <v>0</v>
      </c>
      <c r="AK87" s="726">
        <f t="shared" si="52"/>
        <v>0</v>
      </c>
      <c r="AL87" s="690"/>
      <c r="AM87" s="690"/>
      <c r="AN87" s="626"/>
      <c r="AO87" s="626"/>
      <c r="AP87" s="690"/>
      <c r="AQ87" s="692"/>
      <c r="AR87" s="733"/>
      <c r="AS87" s="733"/>
      <c r="AT87" s="692"/>
      <c r="AU87" s="692"/>
      <c r="AV87" s="692"/>
      <c r="AW87" s="692"/>
      <c r="AX87" s="692"/>
      <c r="AY87" s="692"/>
      <c r="AZ87" s="692"/>
      <c r="BA87" s="453"/>
    </row>
    <row r="88" spans="1:53" ht="15.75" customHeight="1">
      <c r="A88" s="1807"/>
      <c r="B88" s="537" t="s">
        <v>677</v>
      </c>
      <c r="C88" s="3349">
        <f>C65*C89+(AF83*C83*AG83+AF84*C84*AG84+AF85*C85*AG85+C86*AG86*AF86)/375</f>
        <v>644.9</v>
      </c>
      <c r="D88" s="3350" t="s">
        <v>40</v>
      </c>
      <c r="E88" s="3351">
        <f>C88*E$66/C$66</f>
        <v>268.70833333333331</v>
      </c>
      <c r="F88" s="780" t="s">
        <v>40</v>
      </c>
      <c r="G88" s="2682" t="str">
        <f>'Beer Data Sheet'!Y30</f>
        <v xml:space="preserve">Other </v>
      </c>
      <c r="H88" s="2683">
        <f>'Beer Data Sheet'!Z30</f>
        <v>0</v>
      </c>
      <c r="I88" s="2250"/>
      <c r="J88" s="2265">
        <f t="shared" si="54"/>
        <v>0</v>
      </c>
      <c r="K88" s="453"/>
      <c r="L88" s="5076"/>
      <c r="M88" s="5077"/>
      <c r="N88" s="5077"/>
      <c r="O88" s="5077"/>
      <c r="P88" s="5077"/>
      <c r="Q88" s="5077"/>
      <c r="R88" s="5077"/>
      <c r="S88" s="5077"/>
      <c r="T88" s="5078"/>
      <c r="U88" s="638"/>
      <c r="V88" s="453"/>
      <c r="W88" s="453"/>
      <c r="X88" s="453"/>
      <c r="Y88" s="453"/>
      <c r="Z88" s="453"/>
      <c r="AA88" s="638"/>
      <c r="AB88" s="638"/>
      <c r="AC88" s="690">
        <f t="shared" si="45"/>
        <v>0</v>
      </c>
      <c r="AD88" s="690"/>
      <c r="AE88" s="663">
        <v>88</v>
      </c>
      <c r="AF88" s="721">
        <f>'Beer Data Sheet'!Z62</f>
        <v>0</v>
      </c>
      <c r="AG88" s="690">
        <f>'Beer Data Sheet'!AA62</f>
        <v>0</v>
      </c>
      <c r="AH88" s="721">
        <f>'Beer Data Sheet'!AD62</f>
        <v>0</v>
      </c>
      <c r="AI88" s="725">
        <f t="shared" si="48"/>
        <v>0</v>
      </c>
      <c r="AJ88" s="690">
        <f t="shared" si="51"/>
        <v>0</v>
      </c>
      <c r="AK88" s="726">
        <f t="shared" si="52"/>
        <v>0</v>
      </c>
      <c r="AL88" s="690"/>
      <c r="AM88" s="690"/>
      <c r="AN88" s="626"/>
      <c r="AO88" s="626"/>
      <c r="AP88" s="690"/>
      <c r="AQ88" s="692"/>
      <c r="AR88" s="733"/>
      <c r="AS88" s="733"/>
      <c r="AT88" s="692"/>
      <c r="AU88" s="692"/>
      <c r="AV88" s="692"/>
      <c r="AW88" s="692"/>
      <c r="AX88" s="692"/>
      <c r="AY88" s="692"/>
      <c r="AZ88" s="692"/>
      <c r="BA88" s="453"/>
    </row>
    <row r="89" spans="1:53" ht="15.75" customHeight="1">
      <c r="A89" s="1807"/>
      <c r="B89" s="3182" t="str">
        <f>"Priming sugar (sucrose) g/litre, 1 level tsp  = "&amp;'Beer Data Sheet'!O$20&amp;"g)"</f>
        <v>Priming sugar (sucrose) g/litre, 1 level tsp  = 3.15g)</v>
      </c>
      <c r="C89" s="3352">
        <v>6.3</v>
      </c>
      <c r="D89" s="3353" t="str">
        <f>"g = "&amp;FIXED(C89/'Beer Data Sheet'!$O$20)&amp;" tsp."</f>
        <v>g = 2.00 tsp.</v>
      </c>
      <c r="E89" s="3354">
        <f>C89</f>
        <v>6.3</v>
      </c>
      <c r="F89" s="3355" t="str">
        <f>"g = "&amp;FIXED(E89/'Beer Data Sheet'!$O$20)&amp;" tsp."</f>
        <v>g = 2.00 tsp.</v>
      </c>
      <c r="G89" s="2682" t="str">
        <f>'Beer Data Sheet'!Y31</f>
        <v xml:space="preserve">Other </v>
      </c>
      <c r="H89" s="2683">
        <f>'Beer Data Sheet'!Z31</f>
        <v>0</v>
      </c>
      <c r="I89" s="2250"/>
      <c r="J89" s="2265">
        <f t="shared" si="54"/>
        <v>0</v>
      </c>
      <c r="K89" s="453"/>
      <c r="L89" s="5079"/>
      <c r="M89" s="5080"/>
      <c r="N89" s="5080"/>
      <c r="O89" s="5080"/>
      <c r="P89" s="5080"/>
      <c r="Q89" s="5080"/>
      <c r="R89" s="5080"/>
      <c r="S89" s="5080"/>
      <c r="T89" s="5081"/>
      <c r="U89" s="2665"/>
      <c r="V89" s="453"/>
      <c r="W89" s="453"/>
      <c r="X89" s="453"/>
      <c r="Y89" s="453"/>
      <c r="Z89" s="453"/>
      <c r="AA89" s="2665"/>
      <c r="AB89" s="638"/>
      <c r="AC89" s="690">
        <f t="shared" si="45"/>
        <v>0</v>
      </c>
      <c r="AD89" s="690"/>
      <c r="AE89" s="690"/>
      <c r="AF89" s="691"/>
      <c r="AG89" s="691"/>
      <c r="AH89" s="691"/>
      <c r="AI89" s="725"/>
      <c r="AJ89" s="695">
        <f>0.001*375*C89*C65</f>
        <v>54.337499999999999</v>
      </c>
      <c r="AK89" s="737"/>
      <c r="AL89" s="695"/>
      <c r="AM89" s="695"/>
      <c r="AN89" s="626"/>
      <c r="AO89" s="626"/>
      <c r="AP89" s="690"/>
      <c r="AQ89" s="692"/>
      <c r="AR89" s="733"/>
      <c r="AS89" s="733"/>
      <c r="AT89" s="692"/>
      <c r="AU89" s="692"/>
      <c r="AV89" s="692"/>
      <c r="AW89" s="692"/>
      <c r="AX89" s="692"/>
      <c r="AY89" s="692"/>
      <c r="AZ89" s="692"/>
      <c r="BA89" s="453"/>
    </row>
    <row r="90" spans="1:53" ht="15.75" customHeight="1">
      <c r="A90" s="738"/>
      <c r="B90" s="2660" t="s">
        <v>1757</v>
      </c>
      <c r="C90" s="2251">
        <f>C89*'Beer Data Sheet'!AF$3+VLOOKUP(L9,'Beer Data Sheet'!AE6:AF49,2)</f>
        <v>2.5275263157894736</v>
      </c>
      <c r="D90" s="681" t="s">
        <v>678</v>
      </c>
      <c r="E90" s="2256">
        <f>E89*'Beer Data Sheet'!AF$3+VLOOKUP(L9,'Beer Data Sheet'!AE6:AF49,2)</f>
        <v>2.5275263157894736</v>
      </c>
      <c r="F90" s="2730" t="s">
        <v>678</v>
      </c>
      <c r="G90" s="2682" t="str">
        <f>'Beer Data Sheet'!Y32</f>
        <v xml:space="preserve">Other </v>
      </c>
      <c r="H90" s="2683">
        <f>'Beer Data Sheet'!Z32</f>
        <v>0</v>
      </c>
      <c r="I90" s="2250"/>
      <c r="J90" s="2265">
        <f t="shared" si="54"/>
        <v>0</v>
      </c>
      <c r="K90" s="453"/>
      <c r="L90" s="453"/>
      <c r="M90" s="453"/>
      <c r="N90" s="453"/>
      <c r="O90" s="453"/>
      <c r="P90" s="3530"/>
      <c r="Q90" s="3530"/>
      <c r="R90" s="3530"/>
      <c r="S90" s="3530"/>
      <c r="T90" s="3530"/>
      <c r="U90" s="3530"/>
      <c r="V90" s="453"/>
      <c r="W90" s="453"/>
      <c r="X90" s="453"/>
      <c r="Y90" s="453"/>
      <c r="Z90" s="453"/>
      <c r="AA90" s="3532"/>
      <c r="AB90" s="638"/>
      <c r="AC90" s="690">
        <f t="shared" si="45"/>
        <v>0</v>
      </c>
      <c r="AD90" s="663"/>
      <c r="AE90" s="663"/>
      <c r="AF90" s="626"/>
      <c r="AG90" s="626"/>
      <c r="AH90" s="626"/>
      <c r="AI90" s="626"/>
      <c r="AJ90" s="741"/>
      <c r="AK90" s="626"/>
      <c r="AL90" s="741"/>
      <c r="AM90" s="741"/>
      <c r="AN90" s="626"/>
      <c r="AO90" s="626"/>
      <c r="AP90" s="690"/>
      <c r="AQ90" s="692"/>
      <c r="AR90" s="733"/>
      <c r="AS90" s="733"/>
      <c r="AT90" s="692"/>
      <c r="AU90" s="692"/>
      <c r="AV90" s="692"/>
      <c r="AW90" s="692"/>
      <c r="AX90" s="692"/>
      <c r="AY90" s="692"/>
      <c r="AZ90" s="692"/>
      <c r="BA90" s="453"/>
    </row>
    <row r="91" spans="1:53" ht="15.75" customHeight="1">
      <c r="A91" s="738"/>
      <c r="B91" s="743" t="s">
        <v>708</v>
      </c>
      <c r="C91" s="2233">
        <v>75</v>
      </c>
      <c r="D91" s="5115" t="s">
        <v>204</v>
      </c>
      <c r="E91" s="5116"/>
      <c r="F91" s="2195" t="s">
        <v>709</v>
      </c>
      <c r="G91" s="740" t="s">
        <v>706</v>
      </c>
      <c r="H91" s="2266" t="s">
        <v>707</v>
      </c>
      <c r="I91" s="2267">
        <v>10</v>
      </c>
      <c r="J91" s="2268">
        <f>I91*E$66/C$66</f>
        <v>4.166666666666667</v>
      </c>
      <c r="K91" s="5117" t="s">
        <v>1799</v>
      </c>
      <c r="L91" s="5118"/>
      <c r="M91" s="5118"/>
      <c r="N91" s="5118"/>
      <c r="O91" s="5118"/>
      <c r="P91" s="744"/>
      <c r="Q91" s="744"/>
      <c r="R91" s="744"/>
      <c r="S91" s="744"/>
      <c r="T91" s="744"/>
      <c r="U91" s="744"/>
      <c r="V91" s="453"/>
      <c r="W91" s="453"/>
      <c r="X91" s="453"/>
      <c r="Y91" s="453"/>
      <c r="Z91" s="453"/>
      <c r="AA91" s="2666"/>
      <c r="AB91" s="638"/>
      <c r="AC91" s="663">
        <f>SUM(AC67:AC90)</f>
        <v>605</v>
      </c>
      <c r="AD91" s="663"/>
      <c r="AE91" s="663"/>
      <c r="AF91" s="663"/>
      <c r="AG91" s="626"/>
      <c r="AH91" s="663"/>
      <c r="AI91" s="687" t="s">
        <v>683</v>
      </c>
      <c r="AJ91" s="684">
        <f>SUM(AJ68:AJ82)/(C65)</f>
        <v>36.974592391304348</v>
      </c>
      <c r="AK91" s="663"/>
      <c r="AL91" s="684"/>
      <c r="AM91" s="684"/>
      <c r="AN91" s="626"/>
      <c r="AO91" s="626"/>
      <c r="AP91" s="663"/>
      <c r="AQ91" s="626"/>
      <c r="AR91" s="742"/>
      <c r="AS91" s="742"/>
      <c r="AT91" s="626"/>
      <c r="AU91" s="626"/>
      <c r="AV91" s="626"/>
      <c r="AW91" s="692"/>
      <c r="AX91" s="692"/>
      <c r="AY91" s="692"/>
      <c r="AZ91" s="692"/>
      <c r="BA91" s="453"/>
    </row>
    <row r="92" spans="1:53" ht="15.75" customHeight="1">
      <c r="A92" s="738"/>
      <c r="B92" s="2193" t="s">
        <v>1714</v>
      </c>
      <c r="C92" s="2431" t="str">
        <f>FIXED((100*(1-(AJ98/AJ97))),1)&amp;"%"</f>
        <v>79.7%</v>
      </c>
      <c r="D92" s="5119" t="s">
        <v>1746</v>
      </c>
      <c r="E92" s="5119"/>
      <c r="F92" s="2194" t="str">
        <f>FIXED(100*(1-(((0.1808*AJ97)+(0.8192*AJ98))/AJ97)),1)&amp;"%"</f>
        <v>65.3%</v>
      </c>
      <c r="G92" s="3344" t="s">
        <v>681</v>
      </c>
      <c r="H92" s="685" t="s">
        <v>682</v>
      </c>
      <c r="I92" s="2269"/>
      <c r="J92" s="2270">
        <f>I92*E$66/C$66</f>
        <v>0</v>
      </c>
      <c r="K92" s="5120" t="str">
        <f>"ml  = "&amp;FIXED(J92/5,2)&amp;" tsp (1 tsp = 5ml)"</f>
        <v>ml  = 0.00 tsp (1 tsp = 5ml)</v>
      </c>
      <c r="L92" s="5121"/>
      <c r="M92" s="5121"/>
      <c r="N92" s="744"/>
      <c r="O92" s="744"/>
      <c r="P92" s="680"/>
      <c r="Q92" s="3530"/>
      <c r="R92" s="453"/>
      <c r="S92" s="617"/>
      <c r="T92" s="617"/>
      <c r="U92" s="638"/>
      <c r="V92" s="453"/>
      <c r="W92" s="453"/>
      <c r="X92" s="453"/>
      <c r="Y92" s="453"/>
      <c r="Z92" s="453"/>
      <c r="AA92" s="638"/>
      <c r="AB92" s="745"/>
      <c r="AC92" s="626"/>
      <c r="AD92" s="626"/>
      <c r="AE92" s="626"/>
      <c r="AF92" s="626"/>
      <c r="AG92" s="626"/>
      <c r="AH92" s="626"/>
      <c r="AI92" s="626"/>
      <c r="AJ92" s="626"/>
      <c r="AK92" s="626"/>
      <c r="AL92" s="626"/>
      <c r="AM92" s="626"/>
      <c r="AN92" s="626"/>
      <c r="AO92" s="626"/>
      <c r="AP92" s="663"/>
      <c r="AQ92" s="626"/>
      <c r="AR92" s="742"/>
      <c r="AS92" s="742"/>
      <c r="AT92" s="626"/>
      <c r="AU92" s="626"/>
      <c r="AV92" s="626"/>
      <c r="AW92" s="692"/>
      <c r="AX92" s="692"/>
      <c r="AY92" s="692"/>
      <c r="AZ92" s="692"/>
      <c r="BA92" s="453"/>
    </row>
    <row r="93" spans="1:53" ht="15.75" customHeight="1">
      <c r="A93" s="738"/>
      <c r="B93" s="2056"/>
      <c r="C93" s="2619"/>
      <c r="D93" s="1611"/>
      <c r="E93" s="1611"/>
      <c r="F93" s="2056"/>
      <c r="G93" s="3447"/>
      <c r="H93" s="3448"/>
      <c r="I93" s="3448"/>
      <c r="J93" s="3449"/>
      <c r="K93" s="3531"/>
      <c r="L93" s="3531"/>
      <c r="M93" s="3531"/>
      <c r="N93" s="744"/>
      <c r="O93" s="744"/>
      <c r="P93" s="680"/>
      <c r="Q93" s="3530"/>
      <c r="R93" s="453"/>
      <c r="S93" s="617"/>
      <c r="T93" s="617"/>
      <c r="U93" s="638"/>
      <c r="V93" s="453"/>
      <c r="W93" s="453"/>
      <c r="X93" s="453"/>
      <c r="Y93" s="453"/>
      <c r="Z93" s="453"/>
      <c r="AA93" s="638"/>
      <c r="AB93" s="745"/>
      <c r="AC93" s="626"/>
      <c r="AD93" s="626"/>
      <c r="AE93" s="626"/>
      <c r="AF93" s="626"/>
      <c r="AG93" s="626"/>
      <c r="AH93" s="626"/>
      <c r="AI93" s="626"/>
      <c r="AJ93" s="626"/>
      <c r="AK93" s="626"/>
      <c r="AL93" s="626"/>
      <c r="AM93" s="626"/>
      <c r="AN93" s="626"/>
      <c r="AO93" s="626"/>
      <c r="AP93" s="663"/>
      <c r="AQ93" s="626"/>
      <c r="AR93" s="742"/>
      <c r="AS93" s="742"/>
      <c r="AT93" s="626"/>
      <c r="AU93" s="626"/>
      <c r="AV93" s="626"/>
      <c r="AW93" s="692"/>
      <c r="AX93" s="692"/>
      <c r="AY93" s="692"/>
      <c r="AZ93" s="692"/>
      <c r="BA93" s="453"/>
    </row>
    <row r="94" spans="1:53" ht="15.75" customHeight="1">
      <c r="A94" s="738"/>
      <c r="B94" s="680"/>
      <c r="C94" s="680"/>
      <c r="D94" s="680"/>
      <c r="E94" s="680"/>
      <c r="F94" s="680"/>
      <c r="G94" s="680"/>
      <c r="H94" s="680"/>
      <c r="I94" s="680"/>
      <c r="J94" s="680"/>
      <c r="K94" s="680"/>
      <c r="L94" s="680"/>
      <c r="M94" s="680"/>
      <c r="N94" s="680"/>
      <c r="O94" s="680"/>
      <c r="P94" s="680"/>
      <c r="Q94" s="744"/>
      <c r="R94" s="453"/>
      <c r="S94" s="617"/>
      <c r="T94" s="617"/>
      <c r="U94" s="638"/>
      <c r="V94" s="453"/>
      <c r="W94" s="453"/>
      <c r="X94" s="453"/>
      <c r="Y94" s="453"/>
      <c r="Z94" s="453"/>
      <c r="AA94" s="638"/>
      <c r="AB94" s="1886"/>
      <c r="AC94" s="663"/>
      <c r="AD94" s="663"/>
      <c r="AE94" s="663"/>
      <c r="AF94" s="626"/>
      <c r="AG94" s="626"/>
      <c r="AH94" s="626"/>
      <c r="AI94" s="687" t="s">
        <v>685</v>
      </c>
      <c r="AJ94" s="746">
        <f>(1.079*(SUM(AJ83:AJ89)/C65))</f>
        <v>11.345333152173914</v>
      </c>
      <c r="AK94" s="626"/>
      <c r="AL94" s="746"/>
      <c r="AM94" s="746"/>
      <c r="AN94" s="626"/>
      <c r="AO94" s="626"/>
      <c r="AP94" s="663"/>
      <c r="AQ94" s="626"/>
      <c r="AR94" s="626"/>
      <c r="AS94" s="626"/>
      <c r="AT94" s="626"/>
      <c r="AU94" s="626"/>
      <c r="AV94" s="626"/>
      <c r="AW94" s="692"/>
      <c r="AX94" s="692"/>
      <c r="AY94" s="692"/>
      <c r="AZ94" s="692"/>
      <c r="BA94" s="453"/>
    </row>
    <row r="95" spans="1:53" ht="15.75" customHeight="1">
      <c r="A95" s="738"/>
      <c r="B95" s="2924" t="s">
        <v>762</v>
      </c>
      <c r="C95" s="5126" t="s">
        <v>1804</v>
      </c>
      <c r="D95" s="5127"/>
      <c r="E95" s="5127"/>
      <c r="F95" s="5128"/>
      <c r="G95" s="5129" t="s">
        <v>711</v>
      </c>
      <c r="H95" s="5130"/>
      <c r="I95" s="5130"/>
      <c r="J95" s="5130"/>
      <c r="K95" s="680"/>
      <c r="L95" s="5063" t="s">
        <v>1753</v>
      </c>
      <c r="M95" s="5063"/>
      <c r="N95" s="453"/>
      <c r="O95" s="453"/>
      <c r="P95" s="453"/>
      <c r="Q95" s="744"/>
      <c r="R95" s="453"/>
      <c r="S95" s="617"/>
      <c r="T95" s="617"/>
      <c r="U95" s="638"/>
      <c r="V95" s="638"/>
      <c r="W95" s="638"/>
      <c r="X95" s="638"/>
      <c r="Y95" s="638"/>
      <c r="Z95" s="638"/>
      <c r="AA95" s="638"/>
      <c r="AB95" s="453"/>
      <c r="AC95" s="663"/>
      <c r="AD95" s="663"/>
      <c r="AE95" s="663"/>
      <c r="AF95" s="626"/>
      <c r="AG95" s="626"/>
      <c r="AH95" s="626"/>
      <c r="AI95" s="687" t="s">
        <v>710</v>
      </c>
      <c r="AJ95" s="684">
        <f>(1.079*(SUM(AJ83:AJ87))/C65)</f>
        <v>8.7961956521739122</v>
      </c>
      <c r="AK95" s="626"/>
      <c r="AL95" s="684"/>
      <c r="AM95" s="684"/>
      <c r="AN95" s="626"/>
      <c r="AO95" s="626"/>
      <c r="AP95" s="663"/>
      <c r="AQ95" s="626"/>
      <c r="AR95" s="626"/>
      <c r="AS95" s="626"/>
      <c r="AT95" s="626"/>
      <c r="AU95" s="626"/>
      <c r="AV95" s="626"/>
      <c r="AW95" s="692"/>
      <c r="AX95" s="692"/>
      <c r="AY95" s="692"/>
      <c r="AZ95" s="692"/>
      <c r="BA95" s="453"/>
    </row>
    <row r="96" spans="1:53" ht="15.75" customHeight="1">
      <c r="A96" s="738"/>
      <c r="B96" s="2925" t="s">
        <v>4</v>
      </c>
      <c r="C96" s="2926">
        <v>23</v>
      </c>
      <c r="D96" s="757" t="s">
        <v>666</v>
      </c>
      <c r="E96" s="758" t="s">
        <v>695</v>
      </c>
      <c r="F96" s="2272">
        <v>15</v>
      </c>
      <c r="G96" s="5129"/>
      <c r="H96" s="5130"/>
      <c r="I96" s="5130"/>
      <c r="J96" s="5131"/>
      <c r="K96" s="680"/>
      <c r="L96" s="5073"/>
      <c r="M96" s="5074"/>
      <c r="N96" s="5074"/>
      <c r="O96" s="5074"/>
      <c r="P96" s="5075"/>
      <c r="Q96" s="3530"/>
      <c r="R96" s="453"/>
      <c r="S96" s="617"/>
      <c r="T96" s="617"/>
      <c r="U96" s="617"/>
      <c r="V96" s="617"/>
      <c r="W96" s="617"/>
      <c r="X96" s="617"/>
      <c r="Y96" s="617"/>
      <c r="Z96" s="617"/>
      <c r="AA96" s="617"/>
      <c r="AB96" s="453"/>
      <c r="AC96" s="663"/>
      <c r="AD96" s="663"/>
      <c r="AE96" s="663"/>
      <c r="AF96" s="626"/>
      <c r="AG96" s="626"/>
      <c r="AH96" s="3539"/>
      <c r="AI96" s="3539" t="s">
        <v>689</v>
      </c>
      <c r="AJ96" s="751">
        <f>(C89*0.375*C65+SUM(AI68:AI87))/C65</f>
        <v>59.814130434782612</v>
      </c>
      <c r="AK96" s="752" t="s">
        <v>192</v>
      </c>
      <c r="AL96" s="751"/>
      <c r="AM96" s="751"/>
      <c r="AN96" s="626"/>
      <c r="AO96" s="626"/>
      <c r="AP96" s="663"/>
      <c r="AQ96" s="626"/>
      <c r="AR96" s="626"/>
      <c r="AS96" s="626"/>
      <c r="AT96" s="626"/>
      <c r="AU96" s="626"/>
      <c r="AV96" s="626"/>
      <c r="AW96" s="692"/>
      <c r="AX96" s="692"/>
      <c r="AY96" s="692"/>
      <c r="AZ96" s="692"/>
      <c r="BA96" s="453"/>
    </row>
    <row r="97" spans="1:53" ht="15.75" customHeight="1">
      <c r="A97" s="738"/>
      <c r="B97" s="2927" t="s">
        <v>712</v>
      </c>
      <c r="C97" s="2928">
        <v>310</v>
      </c>
      <c r="D97" s="5132" t="s">
        <v>713</v>
      </c>
      <c r="E97" s="5133"/>
      <c r="F97" s="2929">
        <v>310</v>
      </c>
      <c r="G97" s="5134" t="s">
        <v>1681</v>
      </c>
      <c r="H97" s="5135"/>
      <c r="I97" s="5136"/>
      <c r="J97" s="5137"/>
      <c r="K97" s="680"/>
      <c r="L97" s="5076"/>
      <c r="M97" s="5077"/>
      <c r="N97" s="5077"/>
      <c r="O97" s="5077"/>
      <c r="P97" s="5078"/>
      <c r="Q97" s="744"/>
      <c r="R97" s="453"/>
      <c r="S97" s="617"/>
      <c r="T97" s="617"/>
      <c r="U97" s="617"/>
      <c r="V97" s="617"/>
      <c r="W97" s="617"/>
      <c r="X97" s="617"/>
      <c r="Y97" s="617"/>
      <c r="Z97" s="617"/>
      <c r="AA97" s="617"/>
      <c r="AB97" s="453"/>
      <c r="AC97" s="755">
        <f>0.01*$AC$53*(C56-C57)/(7.75-(3*(C56-1000)/800))</f>
        <v>0.35529955786712786</v>
      </c>
      <c r="AD97" s="688" t="s">
        <v>33</v>
      </c>
      <c r="AE97" s="663"/>
      <c r="AF97" s="626"/>
      <c r="AG97" s="626"/>
      <c r="AH97" s="756"/>
      <c r="AI97" s="756" t="s">
        <v>690</v>
      </c>
      <c r="AJ97" s="751">
        <f>SUM(AI68:AI87)/C65</f>
        <v>57.451630434782608</v>
      </c>
      <c r="AK97" s="752" t="s">
        <v>192</v>
      </c>
      <c r="AL97" s="751"/>
      <c r="AM97" s="751"/>
      <c r="AN97" s="626"/>
      <c r="AO97" s="626"/>
      <c r="AP97" s="663"/>
      <c r="AQ97" s="626"/>
      <c r="AR97" s="626"/>
      <c r="AS97" s="626"/>
      <c r="AT97" s="626"/>
      <c r="AU97" s="626"/>
      <c r="AV97" s="626"/>
      <c r="AW97" s="692"/>
      <c r="AX97" s="692"/>
      <c r="AY97" s="692"/>
      <c r="AZ97" s="692"/>
      <c r="BA97" s="453"/>
    </row>
    <row r="98" spans="1:53" ht="15.75" customHeight="1">
      <c r="A98" s="738"/>
      <c r="B98" s="2930" t="s">
        <v>714</v>
      </c>
      <c r="C98" s="2931">
        <v>75</v>
      </c>
      <c r="D98" s="5140" t="s">
        <v>759</v>
      </c>
      <c r="E98" s="5141"/>
      <c r="F98" s="3379">
        <f>L8</f>
        <v>75</v>
      </c>
      <c r="G98" s="5142" t="s">
        <v>1806</v>
      </c>
      <c r="H98" s="5142"/>
      <c r="I98" s="5142"/>
      <c r="J98" s="5138"/>
      <c r="K98" s="680"/>
      <c r="L98" s="5076"/>
      <c r="M98" s="5077"/>
      <c r="N98" s="5077"/>
      <c r="O98" s="5077"/>
      <c r="P98" s="5078"/>
      <c r="Q98" s="680"/>
      <c r="R98" s="747"/>
      <c r="S98" s="753"/>
      <c r="T98" s="845"/>
      <c r="U98" s="845"/>
      <c r="V98" s="617"/>
      <c r="W98" s="617"/>
      <c r="X98" s="617"/>
      <c r="Y98" s="617"/>
      <c r="Z98" s="759"/>
      <c r="AA98" s="759"/>
      <c r="AB98" s="759"/>
      <c r="AC98" s="755">
        <f>0.00000001*C57*((1000*C56)/$AC$53+(819.2*C57)-1000400)</f>
        <v>0.19963095822830532</v>
      </c>
      <c r="AD98" s="688" t="s">
        <v>33</v>
      </c>
      <c r="AE98" s="663"/>
      <c r="AF98" s="626"/>
      <c r="AG98" s="626"/>
      <c r="AH98" s="442"/>
      <c r="AI98" s="756" t="s">
        <v>692</v>
      </c>
      <c r="AJ98" s="684">
        <f>(AJ96-(0.375*C89*C65)/C65-AJ91-AJ95)</f>
        <v>11.680842391304354</v>
      </c>
      <c r="AK98" s="752" t="s">
        <v>216</v>
      </c>
      <c r="AL98" s="684"/>
      <c r="AM98" s="684"/>
      <c r="AN98" s="626"/>
      <c r="AO98" s="626"/>
      <c r="AP98" s="663"/>
      <c r="AQ98" s="626"/>
      <c r="AR98" s="626"/>
      <c r="AS98" s="626"/>
      <c r="AT98" s="626"/>
      <c r="AU98" s="626"/>
      <c r="AV98" s="626"/>
      <c r="AW98" s="692"/>
      <c r="AX98" s="692"/>
      <c r="AY98" s="692"/>
      <c r="AZ98" s="692"/>
      <c r="BA98" s="453"/>
    </row>
    <row r="99" spans="1:53" ht="15.75" customHeight="1">
      <c r="A99" s="738"/>
      <c r="B99" s="2890" t="s">
        <v>14</v>
      </c>
      <c r="C99" s="2271">
        <f>1000+AJ136</f>
        <v>1036.5830434782608</v>
      </c>
      <c r="D99" s="3338" t="s">
        <v>1797</v>
      </c>
      <c r="E99" s="5143"/>
      <c r="F99" s="5144"/>
      <c r="G99" s="5159" t="s">
        <v>691</v>
      </c>
      <c r="H99" s="5092"/>
      <c r="I99" s="5160"/>
      <c r="J99" s="5138"/>
      <c r="K99" s="680"/>
      <c r="L99" s="5076"/>
      <c r="M99" s="5077"/>
      <c r="N99" s="5077"/>
      <c r="O99" s="5077"/>
      <c r="P99" s="5078"/>
      <c r="Q99" s="680"/>
      <c r="R99" s="747"/>
      <c r="S99" s="749"/>
      <c r="T99" s="749"/>
      <c r="U99" s="749"/>
      <c r="V99" s="617"/>
      <c r="W99" s="617"/>
      <c r="X99" s="617"/>
      <c r="Y99" s="617"/>
      <c r="Z99" s="748"/>
      <c r="AA99" s="748"/>
      <c r="AB99" s="555"/>
      <c r="AC99" s="663"/>
      <c r="AD99" s="663"/>
      <c r="AE99" s="663"/>
      <c r="AF99" s="626"/>
      <c r="AG99" s="626"/>
      <c r="AH99" s="358"/>
      <c r="AI99" s="3539" t="s">
        <v>693</v>
      </c>
      <c r="AJ99" s="751">
        <f>(AJ96-AJ91-AJ94)</f>
        <v>11.494204891304349</v>
      </c>
      <c r="AK99" s="752" t="s">
        <v>216</v>
      </c>
      <c r="AL99" s="751"/>
      <c r="AM99" s="751"/>
      <c r="AN99" s="626"/>
      <c r="AO99" s="626"/>
      <c r="AP99" s="663"/>
      <c r="AQ99" s="626"/>
      <c r="AR99" s="626"/>
      <c r="AS99" s="626"/>
      <c r="AT99" s="626"/>
      <c r="AU99" s="626"/>
      <c r="AV99" s="626"/>
      <c r="AW99" s="692"/>
      <c r="AX99" s="692"/>
      <c r="AY99" s="692"/>
      <c r="AZ99" s="692"/>
      <c r="BA99" s="453"/>
    </row>
    <row r="100" spans="1:53" ht="15.75" customHeight="1">
      <c r="A100" s="738"/>
      <c r="B100" s="2891" t="s">
        <v>312</v>
      </c>
      <c r="C100" s="2932">
        <f>1000+AJ139</f>
        <v>1008.2542423913044</v>
      </c>
      <c r="D100" s="3339" t="s">
        <v>1374</v>
      </c>
      <c r="E100" s="5145"/>
      <c r="F100" s="5146"/>
      <c r="G100" s="5161" t="s">
        <v>663</v>
      </c>
      <c r="H100" s="5162"/>
      <c r="I100" s="410">
        <v>500</v>
      </c>
      <c r="J100" s="5138"/>
      <c r="K100" s="680"/>
      <c r="L100" s="5076"/>
      <c r="M100" s="5077"/>
      <c r="N100" s="5077"/>
      <c r="O100" s="5077"/>
      <c r="P100" s="5078"/>
      <c r="Q100" s="680"/>
      <c r="R100" s="747"/>
      <c r="S100" s="753"/>
      <c r="T100" s="753"/>
      <c r="U100" s="753"/>
      <c r="V100" s="617"/>
      <c r="W100" s="617"/>
      <c r="X100" s="617"/>
      <c r="Y100" s="617"/>
      <c r="Z100" s="754"/>
      <c r="AA100" s="754"/>
      <c r="AB100" s="453"/>
      <c r="AC100" s="626"/>
      <c r="AD100" s="626"/>
      <c r="AE100" s="626"/>
      <c r="AF100" s="626"/>
      <c r="AG100" s="626"/>
      <c r="AH100" s="626"/>
      <c r="AI100" s="626"/>
      <c r="AJ100" s="626"/>
      <c r="AK100" s="626"/>
      <c r="AL100" s="626"/>
      <c r="AM100" s="626"/>
      <c r="AN100" s="626"/>
      <c r="AO100" s="626"/>
      <c r="AP100" s="663"/>
      <c r="AQ100" s="626"/>
      <c r="AR100" s="626"/>
      <c r="AS100" s="626"/>
      <c r="AT100" s="626"/>
      <c r="AU100" s="626"/>
      <c r="AV100" s="626"/>
      <c r="AW100" s="692"/>
      <c r="AX100" s="692"/>
      <c r="AY100" s="692"/>
      <c r="AZ100" s="692"/>
      <c r="BA100" s="453"/>
    </row>
    <row r="101" spans="1:53" ht="15.75" customHeight="1">
      <c r="A101" s="738"/>
      <c r="B101" s="647" t="s">
        <v>313</v>
      </c>
      <c r="C101" s="2245">
        <f>(C99-C100)/(7.75-(3*(C99-1000)/800))</f>
        <v>3.7211998906020551</v>
      </c>
      <c r="D101" s="3339">
        <v>3.7</v>
      </c>
      <c r="E101" s="5145"/>
      <c r="F101" s="5146"/>
      <c r="G101" s="5036" t="s">
        <v>32</v>
      </c>
      <c r="H101" s="5163"/>
      <c r="I101" s="2234">
        <f>$AC$138*I100</f>
        <v>102.95990753712624</v>
      </c>
      <c r="J101" s="5138"/>
      <c r="K101" s="680"/>
      <c r="L101" s="5076"/>
      <c r="M101" s="5077"/>
      <c r="N101" s="5077"/>
      <c r="O101" s="5077"/>
      <c r="P101" s="5078"/>
      <c r="Q101" s="680"/>
      <c r="R101" s="747"/>
      <c r="S101" s="749"/>
      <c r="T101" s="749"/>
      <c r="U101" s="749"/>
      <c r="V101" s="617"/>
      <c r="W101" s="617"/>
      <c r="X101" s="617"/>
      <c r="Y101" s="617"/>
      <c r="Z101" s="750"/>
      <c r="AA101" s="750"/>
      <c r="AB101" s="453"/>
      <c r="AC101" s="626"/>
      <c r="AD101" s="626"/>
      <c r="AE101" s="663"/>
      <c r="AF101" s="663"/>
      <c r="AG101" s="663"/>
      <c r="AH101" s="663"/>
      <c r="AI101" s="442"/>
      <c r="AJ101" s="756"/>
      <c r="AK101" s="755"/>
      <c r="AL101" s="755"/>
      <c r="AM101" s="755"/>
      <c r="AN101" s="755"/>
      <c r="AO101" s="752"/>
      <c r="AP101" s="663"/>
      <c r="AQ101" s="626"/>
      <c r="AR101" s="626"/>
      <c r="AS101" s="626"/>
      <c r="AT101" s="626"/>
      <c r="AU101" s="626"/>
      <c r="AV101" s="626"/>
      <c r="AW101" s="692"/>
      <c r="AX101" s="692"/>
      <c r="AY101" s="692"/>
      <c r="AZ101" s="692"/>
      <c r="BA101" s="453"/>
    </row>
    <row r="102" spans="1:53" ht="15.75" customHeight="1">
      <c r="A102" s="738"/>
      <c r="B102" s="2893" t="s">
        <v>752</v>
      </c>
      <c r="C102" s="2933">
        <f>1000+AJ137</f>
        <v>1035.401793478261</v>
      </c>
      <c r="D102" s="5088" t="s">
        <v>1795</v>
      </c>
      <c r="E102" s="5145"/>
      <c r="F102" s="5146"/>
      <c r="G102" s="4999" t="s">
        <v>315</v>
      </c>
      <c r="H102" s="5149"/>
      <c r="I102" s="2273">
        <f>$AC$139*I100</f>
        <v>64.951488976933277</v>
      </c>
      <c r="J102" s="5138"/>
      <c r="K102" s="680"/>
      <c r="L102" s="5076"/>
      <c r="M102" s="5077"/>
      <c r="N102" s="5077"/>
      <c r="O102" s="5077"/>
      <c r="P102" s="5078"/>
      <c r="Q102" s="680"/>
      <c r="R102" s="747"/>
      <c r="S102" s="749"/>
      <c r="T102" s="749"/>
      <c r="U102" s="749"/>
      <c r="V102" s="617"/>
      <c r="W102" s="617"/>
      <c r="X102" s="617"/>
      <c r="Y102" s="617"/>
      <c r="Z102" s="750"/>
      <c r="AA102" s="750"/>
      <c r="AB102" s="453"/>
      <c r="AC102" s="626"/>
      <c r="AD102" s="626"/>
      <c r="AE102" s="663"/>
      <c r="AF102" s="626"/>
      <c r="AG102" s="626"/>
      <c r="AH102" s="626"/>
      <c r="AI102" s="663"/>
      <c r="AJ102" s="663"/>
      <c r="AK102" s="663"/>
      <c r="AL102" s="663"/>
      <c r="AM102" s="663"/>
      <c r="AN102" s="663"/>
      <c r="AO102" s="663"/>
      <c r="AP102" s="663"/>
      <c r="AQ102" s="626"/>
      <c r="AR102" s="626"/>
      <c r="AS102" s="626"/>
      <c r="AT102" s="626"/>
      <c r="AU102" s="626"/>
      <c r="AV102" s="626"/>
      <c r="AW102" s="692"/>
      <c r="AX102" s="692"/>
      <c r="AY102" s="692"/>
      <c r="AZ102" s="692"/>
      <c r="BA102" s="453"/>
    </row>
    <row r="103" spans="1:53" ht="15.75" customHeight="1">
      <c r="A103" s="738"/>
      <c r="B103" s="2893" t="s">
        <v>753</v>
      </c>
      <c r="C103" s="2934">
        <f>1000+AJ138</f>
        <v>1008.3475611413044</v>
      </c>
      <c r="D103" s="5089"/>
      <c r="E103" s="5145"/>
      <c r="F103" s="5146"/>
      <c r="G103" s="5164" t="s">
        <v>37</v>
      </c>
      <c r="H103" s="5107"/>
      <c r="I103" s="2274">
        <f>SUM(I101:I102)</f>
        <v>167.9113965140595</v>
      </c>
      <c r="J103" s="5138"/>
      <c r="K103" s="680"/>
      <c r="L103" s="5076"/>
      <c r="M103" s="5077"/>
      <c r="N103" s="5077"/>
      <c r="O103" s="5077"/>
      <c r="P103" s="5078"/>
      <c r="Q103" s="680"/>
      <c r="R103" s="747"/>
      <c r="S103" s="846"/>
      <c r="T103" s="2705"/>
      <c r="U103" s="2705"/>
      <c r="V103" s="617"/>
      <c r="W103" s="617"/>
      <c r="X103" s="617"/>
      <c r="Y103" s="617"/>
      <c r="Z103" s="750"/>
      <c r="AA103" s="750"/>
      <c r="AB103" s="453"/>
      <c r="AC103" s="626"/>
      <c r="AD103" s="626"/>
      <c r="AE103" s="663"/>
      <c r="AF103" s="626"/>
      <c r="AG103" s="626"/>
      <c r="AH103" s="626"/>
      <c r="AI103" s="626"/>
      <c r="AJ103" s="626"/>
      <c r="AK103" s="626"/>
      <c r="AL103" s="626"/>
      <c r="AM103" s="626"/>
      <c r="AN103" s="626"/>
      <c r="AO103" s="626"/>
      <c r="AP103" s="663"/>
      <c r="AQ103" s="626"/>
      <c r="AR103" s="626"/>
      <c r="AS103" s="626"/>
      <c r="AT103" s="626"/>
      <c r="AU103" s="626"/>
      <c r="AV103" s="626"/>
      <c r="AW103" s="692"/>
      <c r="AX103" s="692"/>
      <c r="AY103" s="692"/>
      <c r="AZ103" s="692"/>
      <c r="BA103" s="453"/>
    </row>
    <row r="104" spans="1:53" ht="15.75" customHeight="1">
      <c r="A104" s="738"/>
      <c r="B104" s="2935" t="s">
        <v>112</v>
      </c>
      <c r="C104" s="2719" t="str">
        <f>FIXED((AC133/C96)+I134+'Beer Data Sheet'!R16*'Beer Data Sheet'!T16/('Beer Data Sheet'!O16*C96),1)&amp;" EBU"</f>
        <v>31.9 EBU</v>
      </c>
      <c r="D104" s="3340" t="s">
        <v>1798</v>
      </c>
      <c r="E104" s="5145"/>
      <c r="F104" s="5146"/>
      <c r="G104" s="4999" t="s">
        <v>665</v>
      </c>
      <c r="H104" s="5149"/>
      <c r="I104" s="2275">
        <f>I102/3.85</f>
        <v>16.870516617385267</v>
      </c>
      <c r="J104" s="5138"/>
      <c r="K104" s="680"/>
      <c r="L104" s="5076"/>
      <c r="M104" s="5077"/>
      <c r="N104" s="5077"/>
      <c r="O104" s="5077"/>
      <c r="P104" s="5078"/>
      <c r="Q104" s="680"/>
      <c r="R104" s="747"/>
      <c r="S104" s="760"/>
      <c r="T104" s="760"/>
      <c r="U104" s="760"/>
      <c r="V104" s="617"/>
      <c r="W104" s="617"/>
      <c r="X104" s="617"/>
      <c r="Y104" s="617"/>
      <c r="Z104" s="760"/>
      <c r="AA104" s="760"/>
      <c r="AB104" s="760"/>
      <c r="AC104" s="626"/>
      <c r="AD104" s="626"/>
      <c r="AE104" s="663"/>
      <c r="AF104" s="663"/>
      <c r="AG104" s="663"/>
      <c r="AH104" s="663"/>
      <c r="AI104" s="626"/>
      <c r="AJ104" s="626"/>
      <c r="AK104" s="626"/>
      <c r="AL104" s="626"/>
      <c r="AM104" s="626"/>
      <c r="AN104" s="626"/>
      <c r="AO104" s="626"/>
      <c r="AP104" s="663"/>
      <c r="AQ104" s="626"/>
      <c r="AR104" s="626"/>
      <c r="AS104" s="626"/>
      <c r="AT104" s="626"/>
      <c r="AU104" s="626"/>
      <c r="AV104" s="626"/>
      <c r="AW104" s="692"/>
      <c r="AX104" s="692"/>
      <c r="AY104" s="692"/>
      <c r="AZ104" s="692"/>
      <c r="BA104" s="453"/>
    </row>
    <row r="105" spans="1:53" ht="15.75" customHeight="1">
      <c r="A105" s="761"/>
      <c r="B105" s="2891" t="s">
        <v>43</v>
      </c>
      <c r="C105" s="2936" t="str">
        <f>FIXED(SUM(AK109:AK129)/C96,1)&amp;" EBC"</f>
        <v>26.9 EBC</v>
      </c>
      <c r="D105" s="3339">
        <v>27</v>
      </c>
      <c r="E105" s="5145"/>
      <c r="F105" s="5146"/>
      <c r="G105" s="5150" t="s">
        <v>47</v>
      </c>
      <c r="H105" s="5109"/>
      <c r="I105" s="2239">
        <f>I106*I100/1000</f>
        <v>1.8605999453010276</v>
      </c>
      <c r="J105" s="5138"/>
      <c r="K105" s="680"/>
      <c r="L105" s="5076"/>
      <c r="M105" s="5077"/>
      <c r="N105" s="5077"/>
      <c r="O105" s="5077"/>
      <c r="P105" s="5078"/>
      <c r="Q105" s="555"/>
      <c r="R105" s="749"/>
      <c r="S105" s="753"/>
      <c r="T105" s="753"/>
      <c r="U105" s="753"/>
      <c r="V105" s="617"/>
      <c r="W105" s="617"/>
      <c r="X105" s="617"/>
      <c r="Y105" s="617"/>
      <c r="Z105" s="754"/>
      <c r="AA105" s="754"/>
      <c r="AB105" s="555"/>
      <c r="AC105" s="663"/>
      <c r="AD105" s="663"/>
      <c r="AE105" s="663"/>
      <c r="AF105" s="626"/>
      <c r="AG105" s="626"/>
      <c r="AH105" s="626"/>
      <c r="AI105" s="663"/>
      <c r="AJ105" s="663"/>
      <c r="AK105" s="663"/>
      <c r="AL105" s="663"/>
      <c r="AM105" s="663"/>
      <c r="AN105" s="663"/>
      <c r="AO105" s="663"/>
      <c r="AP105" s="663"/>
      <c r="AQ105" s="663"/>
      <c r="AR105" s="663"/>
      <c r="AS105" s="663"/>
      <c r="AT105" s="663"/>
      <c r="AU105" s="663"/>
      <c r="AV105" s="663"/>
      <c r="AW105" s="692"/>
      <c r="AX105" s="692"/>
      <c r="AY105" s="692"/>
      <c r="AZ105" s="692"/>
      <c r="BA105" s="453"/>
    </row>
    <row r="106" spans="1:53" ht="15.75" customHeight="1">
      <c r="A106" s="761"/>
      <c r="B106" s="2937"/>
      <c r="C106" s="2938" t="str">
        <f>"≈ "&amp;FIXED(0.508*SUM(AK109:AK129)/C96,1)&amp;" SRM"</f>
        <v>≈ 13.7 SRM</v>
      </c>
      <c r="D106" s="3785" t="str">
        <f>"≈ "&amp;FIXED((0.508*D105),1)&amp;" SRM"</f>
        <v>≈ 13.7 SRM</v>
      </c>
      <c r="E106" s="5147"/>
      <c r="F106" s="5148"/>
      <c r="G106" s="5151" t="s">
        <v>661</v>
      </c>
      <c r="H106" s="5152"/>
      <c r="I106" s="2276">
        <f>C101</f>
        <v>3.7211998906020551</v>
      </c>
      <c r="J106" s="5139"/>
      <c r="K106" s="680"/>
      <c r="L106" s="5076"/>
      <c r="M106" s="5077"/>
      <c r="N106" s="5077"/>
      <c r="O106" s="5077"/>
      <c r="P106" s="5078"/>
      <c r="Q106" s="453"/>
      <c r="R106" s="749"/>
      <c r="S106" s="749"/>
      <c r="T106" s="749"/>
      <c r="U106" s="749"/>
      <c r="V106" s="617"/>
      <c r="W106" s="617"/>
      <c r="X106" s="617"/>
      <c r="Y106" s="617"/>
      <c r="Z106" s="750"/>
      <c r="AA106" s="750"/>
      <c r="AB106" s="453"/>
      <c r="AC106" s="4967" t="s">
        <v>64</v>
      </c>
      <c r="AD106" s="4967"/>
      <c r="AE106" s="4967"/>
      <c r="AF106" s="4967"/>
      <c r="AG106" s="4967"/>
      <c r="AH106" s="4967"/>
      <c r="AI106" s="4967"/>
      <c r="AJ106" s="4967"/>
      <c r="AK106" s="4967"/>
      <c r="AL106" s="4967"/>
      <c r="AM106" s="4967"/>
      <c r="AN106" s="4967"/>
      <c r="AO106" s="4967"/>
      <c r="AP106" s="4967"/>
      <c r="AQ106" s="4967"/>
      <c r="AR106" s="4967"/>
      <c r="AS106" s="4967"/>
      <c r="AT106" s="4967"/>
      <c r="AU106" s="4967"/>
      <c r="AV106" s="4967"/>
      <c r="AW106" s="4967"/>
      <c r="AX106" s="4967"/>
      <c r="AY106" s="4967"/>
      <c r="AZ106" s="4967"/>
      <c r="BA106" s="453"/>
    </row>
    <row r="107" spans="1:53" ht="15.75" customHeight="1">
      <c r="A107" s="763"/>
      <c r="B107" s="5153" t="s">
        <v>716</v>
      </c>
      <c r="C107" s="5153"/>
      <c r="D107" s="5153"/>
      <c r="E107" s="5153"/>
      <c r="F107" s="5153"/>
      <c r="G107" s="2919" t="s">
        <v>84</v>
      </c>
      <c r="H107" s="2257" t="s">
        <v>696</v>
      </c>
      <c r="I107" s="2277" t="s">
        <v>697</v>
      </c>
      <c r="J107" s="2283" t="s">
        <v>698</v>
      </c>
      <c r="K107" s="680"/>
      <c r="L107" s="5076"/>
      <c r="M107" s="5077"/>
      <c r="N107" s="5077"/>
      <c r="O107" s="5077"/>
      <c r="P107" s="5078"/>
      <c r="Q107" s="453"/>
      <c r="R107" s="453"/>
      <c r="S107" s="749"/>
      <c r="T107" s="749"/>
      <c r="U107" s="749"/>
      <c r="V107" s="617"/>
      <c r="W107" s="617"/>
      <c r="X107" s="617"/>
      <c r="Y107" s="617"/>
      <c r="Z107" s="750"/>
      <c r="AA107" s="750"/>
      <c r="AB107" s="453"/>
      <c r="AC107" s="663"/>
      <c r="AD107" s="663"/>
      <c r="AE107" s="663"/>
      <c r="AF107" s="663" t="s">
        <v>333</v>
      </c>
      <c r="AG107" s="663" t="s">
        <v>334</v>
      </c>
      <c r="AH107" s="663" t="s">
        <v>335</v>
      </c>
      <c r="AI107" s="664" t="s">
        <v>44</v>
      </c>
      <c r="AJ107" s="663" t="s">
        <v>336</v>
      </c>
      <c r="AK107" s="663" t="s">
        <v>335</v>
      </c>
      <c r="AL107" s="663"/>
      <c r="AM107" s="663"/>
      <c r="AN107" s="626"/>
      <c r="AO107" s="876"/>
      <c r="AP107" s="876"/>
      <c r="AQ107" s="876"/>
      <c r="AR107" s="876"/>
      <c r="AS107" s="876"/>
      <c r="AT107" s="876"/>
      <c r="AU107" s="876"/>
      <c r="AV107" s="876"/>
      <c r="AW107" s="875"/>
      <c r="AX107" s="692"/>
      <c r="AY107" s="692"/>
      <c r="AZ107" s="692"/>
      <c r="BA107" s="555"/>
    </row>
    <row r="108" spans="1:53" ht="15.75" customHeight="1">
      <c r="A108" s="764"/>
      <c r="B108" s="2939" t="s">
        <v>330</v>
      </c>
      <c r="C108" s="2290" t="s">
        <v>717</v>
      </c>
      <c r="D108" s="2940" t="s">
        <v>73</v>
      </c>
      <c r="E108" s="2941" t="s">
        <v>718</v>
      </c>
      <c r="F108" s="2942" t="s">
        <v>73</v>
      </c>
      <c r="G108" s="2920"/>
      <c r="H108" s="2260" t="s">
        <v>101</v>
      </c>
      <c r="I108" s="2278" t="s">
        <v>76</v>
      </c>
      <c r="J108" s="2284" t="s">
        <v>76</v>
      </c>
      <c r="K108" s="680"/>
      <c r="L108" s="5076"/>
      <c r="M108" s="5077"/>
      <c r="N108" s="5077"/>
      <c r="O108" s="5077"/>
      <c r="P108" s="5078"/>
      <c r="Q108" s="453"/>
      <c r="R108" s="453"/>
      <c r="S108" s="749"/>
      <c r="T108" s="749"/>
      <c r="U108" s="749"/>
      <c r="V108" s="617"/>
      <c r="W108" s="617"/>
      <c r="X108" s="617"/>
      <c r="Y108" s="617"/>
      <c r="Z108" s="750"/>
      <c r="AA108" s="750"/>
      <c r="AB108" s="453"/>
      <c r="AC108" s="874" t="s">
        <v>116</v>
      </c>
      <c r="AD108" s="663"/>
      <c r="AE108" s="663"/>
      <c r="AF108" s="663"/>
      <c r="AG108" s="663"/>
      <c r="AH108" s="663"/>
      <c r="AI108" s="663"/>
      <c r="AJ108" s="663"/>
      <c r="AK108" s="663"/>
      <c r="AL108" s="663"/>
      <c r="AM108" s="663"/>
      <c r="AN108" s="626"/>
      <c r="AO108" s="626"/>
      <c r="AP108" s="663"/>
      <c r="AQ108" s="626"/>
      <c r="AR108" s="626"/>
      <c r="AS108" s="626"/>
      <c r="AT108" s="626"/>
      <c r="AU108" s="626"/>
      <c r="AV108" s="626"/>
      <c r="AW108" s="692"/>
      <c r="AX108" s="690"/>
      <c r="AY108" s="692"/>
      <c r="AZ108" s="692"/>
      <c r="BA108" s="555"/>
    </row>
    <row r="109" spans="1:53" ht="15.75" customHeight="1">
      <c r="A109" s="5154" t="s">
        <v>337</v>
      </c>
      <c r="B109" s="2943" t="str">
        <f>'Beer Data Sheet'!Y42</f>
        <v>Pale malt</v>
      </c>
      <c r="C109" s="2706">
        <v>3170</v>
      </c>
      <c r="D109" s="860" t="s">
        <v>40</v>
      </c>
      <c r="E109" s="2291">
        <f>C109*(F$96/C$96)*(C$98/F$98)</f>
        <v>2067.391304347826</v>
      </c>
      <c r="F109" s="861" t="s">
        <v>40</v>
      </c>
      <c r="G109" s="2921" t="str">
        <f>'Beer Data Sheet'!Y9</f>
        <v>Bramling Cross</v>
      </c>
      <c r="H109" s="2696">
        <f>'Beer Data Sheet'!Z9</f>
        <v>5.0999999999999996</v>
      </c>
      <c r="I109" s="2279"/>
      <c r="J109" s="2285">
        <f t="shared" ref="J109:J116" si="55">I109*F$96/C$96</f>
        <v>0</v>
      </c>
      <c r="K109" s="680"/>
      <c r="L109" s="5076"/>
      <c r="M109" s="5077"/>
      <c r="N109" s="5077"/>
      <c r="O109" s="5077"/>
      <c r="P109" s="5078"/>
      <c r="Q109" s="453"/>
      <c r="R109" s="453"/>
      <c r="S109" s="749"/>
      <c r="T109" s="749"/>
      <c r="U109" s="749"/>
      <c r="V109" s="617"/>
      <c r="W109" s="617"/>
      <c r="X109" s="617"/>
      <c r="Y109" s="617"/>
      <c r="Z109" s="750"/>
      <c r="AA109" s="750"/>
      <c r="AB109" s="453"/>
      <c r="AC109" s="663">
        <f t="shared" ref="AC109:AC132" si="56">2*H109*I109</f>
        <v>0</v>
      </c>
      <c r="AD109" s="663"/>
      <c r="AE109" s="663"/>
      <c r="AF109" s="664">
        <f>'Beer Data Sheet'!Z42*$L$8/100</f>
        <v>225</v>
      </c>
      <c r="AG109" s="765">
        <f>C$133/100</f>
        <v>0.75</v>
      </c>
      <c r="AH109" s="664">
        <f>'Beer Data Sheet'!AD42</f>
        <v>4.0999999999999996</v>
      </c>
      <c r="AI109" s="671">
        <f>0.001*AF109*C109</f>
        <v>713.25</v>
      </c>
      <c r="AJ109" s="663">
        <f>AI109*AG109</f>
        <v>534.9375</v>
      </c>
      <c r="AK109" s="766">
        <f>0.01*AH109*C109</f>
        <v>129.96999999999997</v>
      </c>
      <c r="AL109" s="663"/>
      <c r="AM109" s="663"/>
      <c r="AN109" s="626"/>
      <c r="AO109" s="626"/>
      <c r="AP109" s="663"/>
      <c r="AQ109" s="626"/>
      <c r="AR109" s="626"/>
      <c r="AS109" s="626"/>
      <c r="AT109" s="626"/>
      <c r="AU109" s="626"/>
      <c r="AV109" s="626"/>
      <c r="AW109" s="692"/>
      <c r="AX109" s="690"/>
      <c r="AY109" s="692"/>
      <c r="AZ109" s="692"/>
      <c r="BA109" s="555"/>
    </row>
    <row r="110" spans="1:53" ht="15.75" customHeight="1">
      <c r="A110" s="5155"/>
      <c r="B110" s="5156" t="str">
        <f>B$109&amp;" in cell E107 ("&amp;10*FIXED((E109/10),1)&amp;"g) is equiv. to approx."&amp;FIXED((E109*0.00001*C98*'Beer Data Sheet'!Z42/'Beer Data Sheet'!Z48),3)*1000&amp;"g LIQUID extract  OR  "&amp;FIXED((E109*0.00001*C98*'Beer Data Sheet'!Z42/'Beer Data Sheet'!Z49),3)*1000&amp;"g DRY extract."</f>
        <v>Pale malt in cell E107 (2067g) is equiv. to approx.1501g LIQUID extract  OR  1274g DRY extract.</v>
      </c>
      <c r="C110" s="5157"/>
      <c r="D110" s="5157"/>
      <c r="E110" s="5157"/>
      <c r="F110" s="5158"/>
      <c r="G110" s="2922" t="str">
        <f>'Beer Data Sheet'!Y10</f>
        <v>Bullion</v>
      </c>
      <c r="H110" s="2696">
        <f>'Beer Data Sheet'!Z10</f>
        <v>10</v>
      </c>
      <c r="I110" s="2280"/>
      <c r="J110" s="2286">
        <f t="shared" si="55"/>
        <v>0</v>
      </c>
      <c r="K110" s="680"/>
      <c r="L110" s="5076"/>
      <c r="M110" s="5077"/>
      <c r="N110" s="5077"/>
      <c r="O110" s="5077"/>
      <c r="P110" s="5078"/>
      <c r="Q110" s="453"/>
      <c r="R110" s="453"/>
      <c r="S110" s="767"/>
      <c r="T110" s="767"/>
      <c r="U110" s="767"/>
      <c r="V110" s="617"/>
      <c r="W110" s="617"/>
      <c r="X110" s="617"/>
      <c r="Y110" s="617"/>
      <c r="Z110" s="767"/>
      <c r="AA110" s="767"/>
      <c r="AB110" s="767"/>
      <c r="AC110" s="663">
        <f t="shared" si="56"/>
        <v>0</v>
      </c>
      <c r="AD110" s="663"/>
      <c r="AE110" s="663"/>
      <c r="AF110" s="663"/>
      <c r="AG110" s="765"/>
      <c r="AH110" s="663"/>
      <c r="AI110" s="671"/>
      <c r="AJ110" s="663"/>
      <c r="AK110" s="663"/>
      <c r="AL110" s="663"/>
      <c r="AM110" s="663"/>
      <c r="AN110" s="626"/>
      <c r="AO110" s="626"/>
      <c r="AP110" s="626"/>
      <c r="AQ110" s="626"/>
      <c r="AR110" s="626"/>
      <c r="AS110" s="626"/>
      <c r="AT110" s="626"/>
      <c r="AU110" s="626"/>
      <c r="AV110" s="626"/>
      <c r="AW110" s="692"/>
      <c r="AX110" s="690"/>
      <c r="AY110" s="692"/>
      <c r="AZ110" s="692"/>
      <c r="BA110" s="555"/>
    </row>
    <row r="111" spans="1:53" ht="15.75" customHeight="1">
      <c r="A111" s="5155"/>
      <c r="B111" s="2944" t="str">
        <f>'Beer Data Sheet'!Y43</f>
        <v>Lager malt (Pilsner)</v>
      </c>
      <c r="C111" s="2292"/>
      <c r="D111" s="862" t="s">
        <v>40</v>
      </c>
      <c r="E111" s="2293">
        <f t="shared" ref="E111:E121" si="57">C111*(F$96/C$96)*(C$98/F$98)</f>
        <v>0</v>
      </c>
      <c r="F111" s="863" t="s">
        <v>40</v>
      </c>
      <c r="G111" s="2922" t="str">
        <f>'Beer Data Sheet'!Y11</f>
        <v>Challenger</v>
      </c>
      <c r="H111" s="2696">
        <f>'Beer Data Sheet'!Z11</f>
        <v>7.5</v>
      </c>
      <c r="I111" s="2280"/>
      <c r="J111" s="2286">
        <f t="shared" si="55"/>
        <v>0</v>
      </c>
      <c r="K111" s="680"/>
      <c r="L111" s="5076"/>
      <c r="M111" s="5077"/>
      <c r="N111" s="5077"/>
      <c r="O111" s="5077"/>
      <c r="P111" s="5078"/>
      <c r="Q111" s="453"/>
      <c r="R111" s="453"/>
      <c r="S111" s="749"/>
      <c r="T111" s="749"/>
      <c r="U111" s="749"/>
      <c r="V111" s="617"/>
      <c r="W111" s="617"/>
      <c r="X111" s="617"/>
      <c r="Y111" s="617"/>
      <c r="Z111" s="750"/>
      <c r="AA111" s="750"/>
      <c r="AB111" s="453"/>
      <c r="AC111" s="663">
        <f t="shared" si="56"/>
        <v>0</v>
      </c>
      <c r="AD111" s="663"/>
      <c r="AE111" s="663"/>
      <c r="AF111" s="664">
        <f>'Beer Data Sheet'!Z43*$L$8/100</f>
        <v>225</v>
      </c>
      <c r="AG111" s="765">
        <f t="shared" ref="AG111:AG123" si="58">C$133/100</f>
        <v>0.75</v>
      </c>
      <c r="AH111" s="664">
        <f>'Beer Data Sheet'!AD43</f>
        <v>2.2000000000000002</v>
      </c>
      <c r="AI111" s="671">
        <f t="shared" ref="AI111" si="59">0.001*AF111*C111</f>
        <v>0</v>
      </c>
      <c r="AJ111" s="663">
        <f t="shared" ref="AJ111" si="60">AI111*AG111</f>
        <v>0</v>
      </c>
      <c r="AK111" s="766">
        <f t="shared" ref="AK111" si="61">0.01*AH111*C111</f>
        <v>0</v>
      </c>
      <c r="AL111" s="626"/>
      <c r="AM111" s="663"/>
      <c r="AN111" s="626"/>
      <c r="AO111" s="626"/>
      <c r="AP111" s="626"/>
      <c r="AQ111" s="626"/>
      <c r="AR111" s="626"/>
      <c r="AS111" s="626"/>
      <c r="AT111" s="626"/>
      <c r="AU111" s="626"/>
      <c r="AV111" s="626"/>
      <c r="AW111" s="692"/>
      <c r="AX111" s="690"/>
      <c r="AY111" s="692"/>
      <c r="AZ111" s="692"/>
      <c r="BA111" s="555"/>
    </row>
    <row r="112" spans="1:53" ht="15.75" customHeight="1">
      <c r="A112" s="5155"/>
      <c r="B112" s="2944" t="str">
        <f>'Beer Data Sheet'!Y44</f>
        <v>Mild Ale malt</v>
      </c>
      <c r="C112" s="2292"/>
      <c r="D112" s="862" t="s">
        <v>40</v>
      </c>
      <c r="E112" s="2293">
        <f t="shared" si="57"/>
        <v>0</v>
      </c>
      <c r="F112" s="863" t="s">
        <v>40</v>
      </c>
      <c r="G112" s="2922" t="str">
        <f>'Beer Data Sheet'!Y12</f>
        <v>EKG</v>
      </c>
      <c r="H112" s="2696">
        <f>'Beer Data Sheet'!Z12</f>
        <v>5.5</v>
      </c>
      <c r="I112" s="2280"/>
      <c r="J112" s="2286">
        <f t="shared" si="55"/>
        <v>0</v>
      </c>
      <c r="K112" s="680"/>
      <c r="L112" s="5076"/>
      <c r="M112" s="5077"/>
      <c r="N112" s="5077"/>
      <c r="O112" s="5077"/>
      <c r="P112" s="5078"/>
      <c r="Q112" s="453"/>
      <c r="R112" s="453"/>
      <c r="S112" s="749"/>
      <c r="T112" s="749"/>
      <c r="U112" s="749"/>
      <c r="V112" s="617"/>
      <c r="W112" s="617"/>
      <c r="X112" s="617"/>
      <c r="Y112" s="617"/>
      <c r="Z112" s="750"/>
      <c r="AA112" s="750"/>
      <c r="AB112" s="453"/>
      <c r="AC112" s="663">
        <f t="shared" si="56"/>
        <v>0</v>
      </c>
      <c r="AD112" s="663"/>
      <c r="AE112" s="663"/>
      <c r="AF112" s="664">
        <f>'Beer Data Sheet'!Z44*$L$8/100</f>
        <v>221.25</v>
      </c>
      <c r="AG112" s="765">
        <f t="shared" si="58"/>
        <v>0.75</v>
      </c>
      <c r="AH112" s="664">
        <f>'Beer Data Sheet'!AD44</f>
        <v>4.97</v>
      </c>
      <c r="AI112" s="671">
        <f t="shared" ref="AI112:AI130" si="62">0.001*AF112*C112</f>
        <v>0</v>
      </c>
      <c r="AJ112" s="663">
        <f t="shared" ref="AJ112:AJ130" si="63">AI112*AG112</f>
        <v>0</v>
      </c>
      <c r="AK112" s="766">
        <f t="shared" ref="AK112:AK130" si="64">0.01*AH112*C112</f>
        <v>0</v>
      </c>
      <c r="AL112" s="626"/>
      <c r="AM112" s="663"/>
      <c r="AN112" s="626"/>
      <c r="AO112" s="626"/>
      <c r="AP112" s="626"/>
      <c r="AQ112" s="626"/>
      <c r="AR112" s="626"/>
      <c r="AS112" s="626"/>
      <c r="AT112" s="626"/>
      <c r="AU112" s="626"/>
      <c r="AV112" s="626"/>
      <c r="AW112" s="692"/>
      <c r="AX112" s="690"/>
      <c r="AY112" s="692"/>
      <c r="AZ112" s="692"/>
      <c r="BA112" s="555"/>
    </row>
    <row r="113" spans="1:53" ht="15.75" customHeight="1">
      <c r="A113" s="5155"/>
      <c r="B113" s="2944" t="str">
        <f>'Beer Data Sheet'!Y45</f>
        <v xml:space="preserve">Flaked ̸ Torrified barley </v>
      </c>
      <c r="C113" s="2292"/>
      <c r="D113" s="862" t="s">
        <v>40</v>
      </c>
      <c r="E113" s="2293">
        <f t="shared" si="57"/>
        <v>0</v>
      </c>
      <c r="F113" s="863" t="s">
        <v>40</v>
      </c>
      <c r="G113" s="2922" t="str">
        <f>'Beer Data Sheet'!Y13</f>
        <v>First Gold</v>
      </c>
      <c r="H113" s="2696">
        <f>'Beer Data Sheet'!Z13</f>
        <v>7.9</v>
      </c>
      <c r="I113" s="2280"/>
      <c r="J113" s="2286">
        <f t="shared" si="55"/>
        <v>0</v>
      </c>
      <c r="K113" s="680"/>
      <c r="L113" s="5076"/>
      <c r="M113" s="5077"/>
      <c r="N113" s="5077"/>
      <c r="O113" s="5077"/>
      <c r="P113" s="5078"/>
      <c r="Q113" s="453"/>
      <c r="R113" s="453"/>
      <c r="S113" s="749"/>
      <c r="T113" s="749"/>
      <c r="U113" s="749"/>
      <c r="V113" s="617"/>
      <c r="W113" s="617"/>
      <c r="X113" s="617"/>
      <c r="Y113" s="617"/>
      <c r="Z113" s="750"/>
      <c r="AA113" s="750"/>
      <c r="AB113" s="453"/>
      <c r="AC113" s="663">
        <f t="shared" si="56"/>
        <v>0</v>
      </c>
      <c r="AD113" s="663"/>
      <c r="AE113" s="663"/>
      <c r="AF113" s="664">
        <f>'Beer Data Sheet'!Z45*$L$8/100</f>
        <v>187.5</v>
      </c>
      <c r="AG113" s="765">
        <f t="shared" si="58"/>
        <v>0.75</v>
      </c>
      <c r="AH113" s="664">
        <f>'Beer Data Sheet'!AD45</f>
        <v>2.13</v>
      </c>
      <c r="AI113" s="671">
        <f t="shared" si="62"/>
        <v>0</v>
      </c>
      <c r="AJ113" s="663">
        <f t="shared" si="63"/>
        <v>0</v>
      </c>
      <c r="AK113" s="766">
        <f t="shared" si="64"/>
        <v>0</v>
      </c>
      <c r="AL113" s="626"/>
      <c r="AM113" s="663"/>
      <c r="AN113" s="626"/>
      <c r="AO113" s="626"/>
      <c r="AP113" s="626"/>
      <c r="AQ113" s="626"/>
      <c r="AR113" s="626"/>
      <c r="AS113" s="626"/>
      <c r="AT113" s="626"/>
      <c r="AU113" s="626"/>
      <c r="AV113" s="626"/>
      <c r="AW113" s="692"/>
      <c r="AX113" s="690"/>
      <c r="AY113" s="692"/>
      <c r="AZ113" s="692"/>
      <c r="BA113" s="555"/>
    </row>
    <row r="114" spans="1:53" ht="15.75" customHeight="1">
      <c r="A114" s="5155"/>
      <c r="B114" s="2944" t="str">
        <f>'Beer Data Sheet'!Y46</f>
        <v>Wheat malt ̸ Malted wheat</v>
      </c>
      <c r="C114" s="2292"/>
      <c r="D114" s="862" t="s">
        <v>40</v>
      </c>
      <c r="E114" s="2293">
        <f t="shared" si="57"/>
        <v>0</v>
      </c>
      <c r="F114" s="863" t="s">
        <v>40</v>
      </c>
      <c r="G114" s="2922" t="str">
        <f>'Beer Data Sheet'!Y14</f>
        <v>Fuggles</v>
      </c>
      <c r="H114" s="2696">
        <f>'Beer Data Sheet'!Z14</f>
        <v>4.5</v>
      </c>
      <c r="I114" s="2280">
        <v>35</v>
      </c>
      <c r="J114" s="2286">
        <f t="shared" si="55"/>
        <v>22.826086956521738</v>
      </c>
      <c r="K114" s="680"/>
      <c r="L114" s="5076"/>
      <c r="M114" s="5077"/>
      <c r="N114" s="5077"/>
      <c r="O114" s="5077"/>
      <c r="P114" s="5078"/>
      <c r="Q114" s="453"/>
      <c r="R114" s="453"/>
      <c r="S114" s="749"/>
      <c r="T114" s="749"/>
      <c r="U114" s="749"/>
      <c r="V114" s="617"/>
      <c r="W114" s="617"/>
      <c r="X114" s="617"/>
      <c r="Y114" s="617"/>
      <c r="Z114" s="750"/>
      <c r="AA114" s="750"/>
      <c r="AB114" s="453"/>
      <c r="AC114" s="663">
        <f t="shared" si="56"/>
        <v>315</v>
      </c>
      <c r="AD114" s="663"/>
      <c r="AE114" s="663"/>
      <c r="AF114" s="664">
        <f>'Beer Data Sheet'!Z46*$L$8/100</f>
        <v>228.75</v>
      </c>
      <c r="AG114" s="765">
        <f t="shared" si="58"/>
        <v>0.75</v>
      </c>
      <c r="AH114" s="664">
        <f>'Beer Data Sheet'!AD46</f>
        <v>2.13</v>
      </c>
      <c r="AI114" s="671">
        <f t="shared" si="62"/>
        <v>0</v>
      </c>
      <c r="AJ114" s="663">
        <f t="shared" si="63"/>
        <v>0</v>
      </c>
      <c r="AK114" s="766">
        <f t="shared" si="64"/>
        <v>0</v>
      </c>
      <c r="AL114" s="626"/>
      <c r="AM114" s="663"/>
      <c r="AN114" s="626"/>
      <c r="AO114" s="626"/>
      <c r="AP114" s="626"/>
      <c r="AQ114" s="626"/>
      <c r="AR114" s="626"/>
      <c r="AS114" s="626"/>
      <c r="AT114" s="626"/>
      <c r="AU114" s="626"/>
      <c r="AV114" s="626"/>
      <c r="AW114" s="692"/>
      <c r="AX114" s="690"/>
      <c r="AY114" s="692"/>
      <c r="AZ114" s="692"/>
      <c r="BA114" s="555"/>
    </row>
    <row r="115" spans="1:53" ht="15.75" customHeight="1">
      <c r="A115" s="5155"/>
      <c r="B115" s="2944" t="str">
        <f>'Beer Data Sheet'!Y47</f>
        <v>Oats</v>
      </c>
      <c r="C115" s="2292"/>
      <c r="D115" s="862" t="s">
        <v>40</v>
      </c>
      <c r="E115" s="2293">
        <f t="shared" si="57"/>
        <v>0</v>
      </c>
      <c r="F115" s="863" t="s">
        <v>40</v>
      </c>
      <c r="G115" s="2922" t="str">
        <f>'Beer Data Sheet'!Y15</f>
        <v>Goldings (Worc.)</v>
      </c>
      <c r="H115" s="2696">
        <f>'Beer Data Sheet'!Z15</f>
        <v>5</v>
      </c>
      <c r="I115" s="2280">
        <v>35</v>
      </c>
      <c r="J115" s="2286">
        <f t="shared" si="55"/>
        <v>22.826086956521738</v>
      </c>
      <c r="K115" s="680"/>
      <c r="L115" s="5076"/>
      <c r="M115" s="5077"/>
      <c r="N115" s="5077"/>
      <c r="O115" s="5077"/>
      <c r="P115" s="5078"/>
      <c r="Q115" s="453"/>
      <c r="R115" s="453"/>
      <c r="S115" s="749"/>
      <c r="T115" s="749"/>
      <c r="U115" s="749"/>
      <c r="V115" s="617"/>
      <c r="W115" s="617"/>
      <c r="X115" s="617"/>
      <c r="Y115" s="617"/>
      <c r="Z115" s="750"/>
      <c r="AA115" s="750"/>
      <c r="AB115" s="453"/>
      <c r="AC115" s="663">
        <f t="shared" si="56"/>
        <v>350</v>
      </c>
      <c r="AD115" s="663"/>
      <c r="AE115" s="663"/>
      <c r="AF115" s="664">
        <f>'Beer Data Sheet'!Z47*$L$8/100</f>
        <v>187.5</v>
      </c>
      <c r="AG115" s="765">
        <f t="shared" si="58"/>
        <v>0.75</v>
      </c>
      <c r="AH115" s="664">
        <f>'Beer Data Sheet'!AD47</f>
        <v>1.0649999999999999</v>
      </c>
      <c r="AI115" s="671">
        <f t="shared" si="62"/>
        <v>0</v>
      </c>
      <c r="AJ115" s="663">
        <f t="shared" si="63"/>
        <v>0</v>
      </c>
      <c r="AK115" s="766">
        <f t="shared" si="64"/>
        <v>0</v>
      </c>
      <c r="AL115" s="626"/>
      <c r="AM115" s="663"/>
      <c r="AN115" s="626"/>
      <c r="AO115" s="626"/>
      <c r="AP115" s="626"/>
      <c r="AQ115" s="626"/>
      <c r="AR115" s="626"/>
      <c r="AS115" s="626"/>
      <c r="AT115" s="626"/>
      <c r="AU115" s="626"/>
      <c r="AV115" s="626"/>
      <c r="AW115" s="692"/>
      <c r="AX115" s="690"/>
      <c r="AY115" s="692"/>
      <c r="AZ115" s="692"/>
      <c r="BA115" s="555"/>
    </row>
    <row r="116" spans="1:53" ht="15.75" customHeight="1">
      <c r="A116" s="5110" t="s">
        <v>338</v>
      </c>
      <c r="B116" s="2945" t="str">
        <f>'Beer Data Sheet'!Y48</f>
        <v>Extract (LIQUID - light)</v>
      </c>
      <c r="C116" s="2292"/>
      <c r="D116" s="768" t="s">
        <v>40</v>
      </c>
      <c r="E116" s="2294">
        <f t="shared" si="57"/>
        <v>0</v>
      </c>
      <c r="F116" s="667" t="s">
        <v>40</v>
      </c>
      <c r="G116" s="2922" t="str">
        <f>'Beer Data Sheet'!Y16</f>
        <v>Hallertauer ("German")</v>
      </c>
      <c r="H116" s="2696">
        <f>'Beer Data Sheet'!Z16</f>
        <v>2</v>
      </c>
      <c r="I116" s="2280"/>
      <c r="J116" s="2286">
        <f t="shared" si="55"/>
        <v>0</v>
      </c>
      <c r="K116" s="680"/>
      <c r="L116" s="5076"/>
      <c r="M116" s="5077"/>
      <c r="N116" s="5077"/>
      <c r="O116" s="5077"/>
      <c r="P116" s="5078"/>
      <c r="Q116" s="453"/>
      <c r="R116" s="453"/>
      <c r="S116" s="749"/>
      <c r="T116" s="749"/>
      <c r="U116" s="749"/>
      <c r="V116" s="617"/>
      <c r="W116" s="617"/>
      <c r="X116" s="617"/>
      <c r="Y116" s="617"/>
      <c r="Z116" s="750"/>
      <c r="AA116" s="750"/>
      <c r="AB116" s="453"/>
      <c r="AC116" s="663">
        <f t="shared" si="56"/>
        <v>0</v>
      </c>
      <c r="AD116" s="663"/>
      <c r="AE116" s="663"/>
      <c r="AF116" s="669">
        <f>'Beer Data Sheet'!Z48</f>
        <v>310</v>
      </c>
      <c r="AG116" s="765">
        <f t="shared" si="58"/>
        <v>0.75</v>
      </c>
      <c r="AH116" s="664">
        <f>'Beer Data Sheet'!AD48</f>
        <v>10</v>
      </c>
      <c r="AI116" s="671">
        <f t="shared" si="62"/>
        <v>0</v>
      </c>
      <c r="AJ116" s="663">
        <f t="shared" si="63"/>
        <v>0</v>
      </c>
      <c r="AK116" s="766">
        <f t="shared" si="64"/>
        <v>0</v>
      </c>
      <c r="AL116" s="626"/>
      <c r="AM116" s="663"/>
      <c r="AN116" s="626"/>
      <c r="AO116" s="626"/>
      <c r="AP116" s="626"/>
      <c r="AQ116" s="626"/>
      <c r="AR116" s="626"/>
      <c r="AS116" s="626"/>
      <c r="AT116" s="626"/>
      <c r="AU116" s="626"/>
      <c r="AV116" s="626"/>
      <c r="AW116" s="692"/>
      <c r="AX116" s="690"/>
      <c r="AY116" s="692"/>
      <c r="AZ116" s="692"/>
      <c r="BA116" s="555"/>
    </row>
    <row r="117" spans="1:53" ht="15.75" customHeight="1">
      <c r="A117" s="5110"/>
      <c r="B117" s="2945" t="str">
        <f>'Beer Data Sheet'!Y49</f>
        <v>Extract (DRY - light)</v>
      </c>
      <c r="C117" s="2292"/>
      <c r="D117" s="768" t="s">
        <v>40</v>
      </c>
      <c r="E117" s="2294">
        <f>C117*(F$96/C$96)*(C$98/F$98)</f>
        <v>0</v>
      </c>
      <c r="F117" s="667" t="s">
        <v>40</v>
      </c>
      <c r="G117" s="2922" t="str">
        <f>'Beer Data Sheet'!Y17</f>
        <v>Hallertauer ("Pacific")</v>
      </c>
      <c r="H117" s="2696">
        <f>'Beer Data Sheet'!Z17</f>
        <v>6.7</v>
      </c>
      <c r="I117" s="2280"/>
      <c r="J117" s="2286">
        <f t="shared" ref="J117:J132" si="65">I117*F$96/C$96</f>
        <v>0</v>
      </c>
      <c r="K117" s="680"/>
      <c r="L117" s="5076"/>
      <c r="M117" s="5077"/>
      <c r="N117" s="5077"/>
      <c r="O117" s="5077"/>
      <c r="P117" s="5078"/>
      <c r="Q117" s="453"/>
      <c r="R117" s="453"/>
      <c r="S117" s="749"/>
      <c r="T117" s="749"/>
      <c r="U117" s="749"/>
      <c r="V117" s="617"/>
      <c r="W117" s="617"/>
      <c r="X117" s="617"/>
      <c r="Y117" s="617"/>
      <c r="Z117" s="750"/>
      <c r="AA117" s="750"/>
      <c r="AB117" s="453"/>
      <c r="AC117" s="663">
        <f t="shared" si="56"/>
        <v>0</v>
      </c>
      <c r="AD117" s="663"/>
      <c r="AE117" s="663"/>
      <c r="AF117" s="669">
        <f>'Beer Data Sheet'!Z49</f>
        <v>365</v>
      </c>
      <c r="AG117" s="765">
        <f>C$133/100</f>
        <v>0.75</v>
      </c>
      <c r="AH117" s="664">
        <f>'Beer Data Sheet'!AD49</f>
        <v>11</v>
      </c>
      <c r="AI117" s="671">
        <f t="shared" si="62"/>
        <v>0</v>
      </c>
      <c r="AJ117" s="663">
        <f t="shared" si="63"/>
        <v>0</v>
      </c>
      <c r="AK117" s="766">
        <f t="shared" si="64"/>
        <v>0</v>
      </c>
      <c r="AL117" s="626"/>
      <c r="AM117" s="663"/>
      <c r="AN117" s="626"/>
      <c r="AO117" s="626"/>
      <c r="AP117" s="626"/>
      <c r="AQ117" s="626"/>
      <c r="AR117" s="626"/>
      <c r="AS117" s="626"/>
      <c r="AT117" s="626"/>
      <c r="AU117" s="626"/>
      <c r="AV117" s="626"/>
      <c r="AW117" s="692"/>
      <c r="AX117" s="690"/>
      <c r="AY117" s="692"/>
      <c r="AZ117" s="692"/>
      <c r="BA117" s="555"/>
    </row>
    <row r="118" spans="1:53" ht="15.75" customHeight="1">
      <c r="A118" s="5110"/>
      <c r="B118" s="2945" t="str">
        <f>'Beer Data Sheet'!Y50</f>
        <v>Extract (LIQUID - wheat)</v>
      </c>
      <c r="C118" s="2292"/>
      <c r="D118" s="768" t="s">
        <v>40</v>
      </c>
      <c r="E118" s="2294">
        <f>C118*(F$96/C$96)*(C$98/F$98)</f>
        <v>0</v>
      </c>
      <c r="F118" s="667" t="s">
        <v>40</v>
      </c>
      <c r="G118" s="2922" t="str">
        <f>'Beer Data Sheet'!Y18</f>
        <v>Liberty</v>
      </c>
      <c r="H118" s="2696">
        <f>'Beer Data Sheet'!Z18</f>
        <v>4</v>
      </c>
      <c r="I118" s="2280"/>
      <c r="J118" s="2286">
        <f t="shared" si="65"/>
        <v>0</v>
      </c>
      <c r="K118" s="680"/>
      <c r="L118" s="5076"/>
      <c r="M118" s="5077"/>
      <c r="N118" s="5077"/>
      <c r="O118" s="5077"/>
      <c r="P118" s="5078"/>
      <c r="Q118" s="453"/>
      <c r="R118" s="453"/>
      <c r="S118" s="749"/>
      <c r="T118" s="749"/>
      <c r="U118" s="749"/>
      <c r="V118" s="617"/>
      <c r="W118" s="617"/>
      <c r="X118" s="617"/>
      <c r="Y118" s="617"/>
      <c r="Z118" s="750"/>
      <c r="AA118" s="750"/>
      <c r="AB118" s="453"/>
      <c r="AC118" s="663">
        <f t="shared" si="56"/>
        <v>0</v>
      </c>
      <c r="AD118" s="663"/>
      <c r="AE118" s="663"/>
      <c r="AF118" s="669">
        <f>'Beer Data Sheet'!Z50</f>
        <v>366</v>
      </c>
      <c r="AG118" s="765">
        <f>C$133/100</f>
        <v>0.75</v>
      </c>
      <c r="AH118" s="664">
        <f>'Beer Data Sheet'!AD50</f>
        <v>11</v>
      </c>
      <c r="AI118" s="671">
        <f t="shared" si="62"/>
        <v>0</v>
      </c>
      <c r="AJ118" s="663">
        <f t="shared" si="63"/>
        <v>0</v>
      </c>
      <c r="AK118" s="766">
        <f t="shared" si="64"/>
        <v>0</v>
      </c>
      <c r="AL118" s="626"/>
      <c r="AM118" s="663"/>
      <c r="AN118" s="626"/>
      <c r="AO118" s="626"/>
      <c r="AP118" s="626"/>
      <c r="AQ118" s="626"/>
      <c r="AR118" s="626"/>
      <c r="AS118" s="626"/>
      <c r="AT118" s="626"/>
      <c r="AU118" s="626"/>
      <c r="AV118" s="626"/>
      <c r="AW118" s="692"/>
      <c r="AX118" s="690"/>
      <c r="AY118" s="692"/>
      <c r="AZ118" s="692"/>
      <c r="BA118" s="555"/>
    </row>
    <row r="119" spans="1:53" ht="15.75" customHeight="1">
      <c r="A119" s="5111" t="s">
        <v>719</v>
      </c>
      <c r="B119" s="2946" t="str">
        <f>'Beer Data Sheet'!Y51</f>
        <v>Black</v>
      </c>
      <c r="C119" s="2292"/>
      <c r="D119" s="769" t="s">
        <v>40</v>
      </c>
      <c r="E119" s="2294">
        <f t="shared" si="57"/>
        <v>0</v>
      </c>
      <c r="F119" s="670" t="s">
        <v>40</v>
      </c>
      <c r="G119" s="2922" t="str">
        <f>'Beer Data Sheet'!Y19</f>
        <v>Lublin</v>
      </c>
      <c r="H119" s="2696">
        <f>'Beer Data Sheet'!Z19</f>
        <v>3</v>
      </c>
      <c r="I119" s="2280"/>
      <c r="J119" s="2286">
        <f t="shared" si="65"/>
        <v>0</v>
      </c>
      <c r="K119" s="680"/>
      <c r="L119" s="5076"/>
      <c r="M119" s="5077"/>
      <c r="N119" s="5077"/>
      <c r="O119" s="5077"/>
      <c r="P119" s="5078"/>
      <c r="Q119" s="453"/>
      <c r="R119" s="453"/>
      <c r="S119" s="753"/>
      <c r="T119" s="753"/>
      <c r="U119" s="753"/>
      <c r="V119" s="617"/>
      <c r="W119" s="617"/>
      <c r="X119" s="617"/>
      <c r="Y119" s="617"/>
      <c r="Z119" s="754"/>
      <c r="AA119" s="754"/>
      <c r="AB119" s="453"/>
      <c r="AC119" s="663">
        <f t="shared" si="56"/>
        <v>0</v>
      </c>
      <c r="AD119" s="663"/>
      <c r="AE119" s="663"/>
      <c r="AF119" s="664">
        <f>'Beer Data Sheet'!Z51*$L$8/100</f>
        <v>198.75</v>
      </c>
      <c r="AG119" s="765">
        <f t="shared" si="58"/>
        <v>0.75</v>
      </c>
      <c r="AH119" s="664">
        <f>'Beer Data Sheet'!AD51</f>
        <v>908.8</v>
      </c>
      <c r="AI119" s="671">
        <f t="shared" si="62"/>
        <v>0</v>
      </c>
      <c r="AJ119" s="663">
        <f t="shared" si="63"/>
        <v>0</v>
      </c>
      <c r="AK119" s="766">
        <f t="shared" si="64"/>
        <v>0</v>
      </c>
      <c r="AL119" s="626"/>
      <c r="AM119" s="663"/>
      <c r="AN119" s="626"/>
      <c r="AO119" s="626"/>
      <c r="AP119" s="626"/>
      <c r="AQ119" s="626"/>
      <c r="AR119" s="626"/>
      <c r="AS119" s="626"/>
      <c r="AT119" s="626"/>
      <c r="AU119" s="626"/>
      <c r="AV119" s="626"/>
      <c r="AW119" s="692"/>
      <c r="AX119" s="690"/>
      <c r="AY119" s="692"/>
      <c r="AZ119" s="692"/>
      <c r="BA119" s="555"/>
    </row>
    <row r="120" spans="1:53" ht="15.75" customHeight="1">
      <c r="A120" s="5111"/>
      <c r="B120" s="2946" t="str">
        <f>'Beer Data Sheet'!Y52</f>
        <v>Chocolate</v>
      </c>
      <c r="C120" s="2292"/>
      <c r="D120" s="769" t="s">
        <v>40</v>
      </c>
      <c r="E120" s="2294">
        <f t="shared" si="57"/>
        <v>0</v>
      </c>
      <c r="F120" s="670" t="s">
        <v>40</v>
      </c>
      <c r="G120" s="2922" t="str">
        <f>'Beer Data Sheet'!Y20</f>
        <v>Magnum</v>
      </c>
      <c r="H120" s="2696">
        <f>'Beer Data Sheet'!Z20</f>
        <v>13</v>
      </c>
      <c r="I120" s="2280"/>
      <c r="J120" s="2286">
        <f t="shared" si="65"/>
        <v>0</v>
      </c>
      <c r="K120" s="680"/>
      <c r="L120" s="5076"/>
      <c r="M120" s="5077"/>
      <c r="N120" s="5077"/>
      <c r="O120" s="5077"/>
      <c r="P120" s="5078"/>
      <c r="Q120" s="555"/>
      <c r="R120" s="770"/>
      <c r="S120" s="767"/>
      <c r="T120" s="767"/>
      <c r="U120" s="767"/>
      <c r="V120" s="617"/>
      <c r="W120" s="617"/>
      <c r="X120" s="617"/>
      <c r="Y120" s="617"/>
      <c r="Z120" s="767"/>
      <c r="AA120" s="767"/>
      <c r="AB120" s="767"/>
      <c r="AC120" s="663">
        <f t="shared" si="56"/>
        <v>0</v>
      </c>
      <c r="AD120" s="663"/>
      <c r="AE120" s="663"/>
      <c r="AF120" s="664">
        <f>'Beer Data Sheet'!Z52*$L$8/100</f>
        <v>198.75</v>
      </c>
      <c r="AG120" s="765">
        <f t="shared" si="58"/>
        <v>0.75</v>
      </c>
      <c r="AH120" s="664">
        <f>'Beer Data Sheet'!AD52</f>
        <v>763.2</v>
      </c>
      <c r="AI120" s="671">
        <f t="shared" si="62"/>
        <v>0</v>
      </c>
      <c r="AJ120" s="663">
        <f t="shared" si="63"/>
        <v>0</v>
      </c>
      <c r="AK120" s="766">
        <f t="shared" si="64"/>
        <v>0</v>
      </c>
      <c r="AL120" s="626"/>
      <c r="AM120" s="663"/>
      <c r="AN120" s="626"/>
      <c r="AO120" s="626"/>
      <c r="AP120" s="626"/>
      <c r="AQ120" s="626"/>
      <c r="AR120" s="626"/>
      <c r="AS120" s="626"/>
      <c r="AT120" s="626"/>
      <c r="AU120" s="626"/>
      <c r="AV120" s="626"/>
      <c r="AW120" s="692"/>
      <c r="AX120" s="690"/>
      <c r="AY120" s="692"/>
      <c r="AZ120" s="692"/>
      <c r="BA120" s="555"/>
    </row>
    <row r="121" spans="1:53" ht="15.75" customHeight="1">
      <c r="A121" s="5111"/>
      <c r="B121" s="2946" t="str">
        <f>'Beer Data Sheet'!Y53</f>
        <v>Crystal (light)</v>
      </c>
      <c r="C121" s="2292"/>
      <c r="D121" s="857" t="s">
        <v>40</v>
      </c>
      <c r="E121" s="2294">
        <f t="shared" si="57"/>
        <v>0</v>
      </c>
      <c r="F121" s="670" t="s">
        <v>40</v>
      </c>
      <c r="G121" s="2922" t="str">
        <f>'Beer Data Sheet'!Y21</f>
        <v>Northdown</v>
      </c>
      <c r="H121" s="2696">
        <f>'Beer Data Sheet'!Z21</f>
        <v>8</v>
      </c>
      <c r="I121" s="2280"/>
      <c r="J121" s="2286">
        <f t="shared" si="65"/>
        <v>0</v>
      </c>
      <c r="K121" s="680"/>
      <c r="L121" s="5076"/>
      <c r="M121" s="5077"/>
      <c r="N121" s="5077"/>
      <c r="O121" s="5077"/>
      <c r="P121" s="5078"/>
      <c r="Q121" s="555"/>
      <c r="R121" s="749"/>
      <c r="S121" s="749"/>
      <c r="T121" s="749"/>
      <c r="U121" s="749"/>
      <c r="V121" s="617"/>
      <c r="W121" s="617"/>
      <c r="X121" s="617"/>
      <c r="Y121" s="617"/>
      <c r="Z121" s="748"/>
      <c r="AA121" s="748"/>
      <c r="AB121" s="555"/>
      <c r="AC121" s="663">
        <f t="shared" si="56"/>
        <v>0</v>
      </c>
      <c r="AD121" s="663"/>
      <c r="AE121" s="663"/>
      <c r="AF121" s="664">
        <f>'Beer Data Sheet'!Z53*$L$8/100</f>
        <v>198.75</v>
      </c>
      <c r="AG121" s="765">
        <f t="shared" si="58"/>
        <v>0.75</v>
      </c>
      <c r="AH121" s="664">
        <f>'Beer Data Sheet'!AD53</f>
        <v>77.7</v>
      </c>
      <c r="AI121" s="671">
        <f t="shared" si="62"/>
        <v>0</v>
      </c>
      <c r="AJ121" s="663">
        <f t="shared" si="63"/>
        <v>0</v>
      </c>
      <c r="AK121" s="766">
        <f t="shared" si="64"/>
        <v>0</v>
      </c>
      <c r="AL121" s="626"/>
      <c r="AM121" s="663"/>
      <c r="AN121" s="626"/>
      <c r="AO121" s="626"/>
      <c r="AP121" s="626"/>
      <c r="AQ121" s="626"/>
      <c r="AR121" s="626"/>
      <c r="AS121" s="626"/>
      <c r="AT121" s="626"/>
      <c r="AU121" s="626"/>
      <c r="AV121" s="626"/>
      <c r="AW121" s="692"/>
      <c r="AX121" s="690"/>
      <c r="AY121" s="692"/>
      <c r="AZ121" s="692"/>
      <c r="BA121" s="555"/>
    </row>
    <row r="122" spans="1:53" ht="15.75" customHeight="1">
      <c r="A122" s="5111"/>
      <c r="B122" s="2946" t="str">
        <f>'Beer Data Sheet'!Y54</f>
        <v>Crystal (medium)</v>
      </c>
      <c r="C122" s="2292"/>
      <c r="D122" s="769" t="s">
        <v>40</v>
      </c>
      <c r="E122" s="2294">
        <f>C122*(F$96/C$96)*(C$98/F$98)</f>
        <v>0</v>
      </c>
      <c r="F122" s="670" t="s">
        <v>40</v>
      </c>
      <c r="G122" s="2922" t="str">
        <f>'Beer Data Sheet'!Y22</f>
        <v>Progress</v>
      </c>
      <c r="H122" s="2696">
        <f>'Beer Data Sheet'!Z22</f>
        <v>5</v>
      </c>
      <c r="I122" s="2280"/>
      <c r="J122" s="2286">
        <f t="shared" si="65"/>
        <v>0</v>
      </c>
      <c r="K122" s="680"/>
      <c r="L122" s="5076"/>
      <c r="M122" s="5077"/>
      <c r="N122" s="5077"/>
      <c r="O122" s="5077"/>
      <c r="P122" s="5078"/>
      <c r="Q122" s="453"/>
      <c r="R122" s="749"/>
      <c r="S122" s="747"/>
      <c r="T122" s="747"/>
      <c r="U122" s="747"/>
      <c r="V122" s="617"/>
      <c r="W122" s="617"/>
      <c r="X122" s="617"/>
      <c r="Y122" s="617"/>
      <c r="Z122" s="750"/>
      <c r="AA122" s="750"/>
      <c r="AB122" s="453"/>
      <c r="AC122" s="663">
        <f t="shared" si="56"/>
        <v>0</v>
      </c>
      <c r="AD122" s="663"/>
      <c r="AE122" s="663"/>
      <c r="AF122" s="664">
        <f>'Beer Data Sheet'!Z54*$L$8/100</f>
        <v>198.75</v>
      </c>
      <c r="AG122" s="765">
        <f t="shared" si="58"/>
        <v>0.75</v>
      </c>
      <c r="AH122" s="664">
        <f>'Beer Data Sheet'!AD54</f>
        <v>103.6</v>
      </c>
      <c r="AI122" s="671">
        <f t="shared" si="62"/>
        <v>0</v>
      </c>
      <c r="AJ122" s="663">
        <f t="shared" si="63"/>
        <v>0</v>
      </c>
      <c r="AK122" s="766">
        <f t="shared" si="64"/>
        <v>0</v>
      </c>
      <c r="AL122" s="626"/>
      <c r="AM122" s="663"/>
      <c r="AN122" s="626"/>
      <c r="AO122" s="626"/>
      <c r="AP122" s="626"/>
      <c r="AQ122" s="626"/>
      <c r="AR122" s="626"/>
      <c r="AS122" s="626"/>
      <c r="AT122" s="626"/>
      <c r="AU122" s="626"/>
      <c r="AV122" s="626"/>
      <c r="AW122" s="692"/>
      <c r="AX122" s="690"/>
      <c r="AY122" s="692"/>
      <c r="AZ122" s="692"/>
      <c r="BA122" s="555"/>
    </row>
    <row r="123" spans="1:53" ht="15.75" customHeight="1">
      <c r="A123" s="5111"/>
      <c r="B123" s="2946" t="str">
        <f>'Beer Data Sheet'!Y55</f>
        <v>Crystal (dark)</v>
      </c>
      <c r="C123" s="2292">
        <v>330</v>
      </c>
      <c r="D123" s="769" t="s">
        <v>40</v>
      </c>
      <c r="E123" s="2294">
        <f>C123*(F$96/C$96)*(C$98/F$98)</f>
        <v>215.21739130434784</v>
      </c>
      <c r="F123" s="670" t="s">
        <v>40</v>
      </c>
      <c r="G123" s="2922" t="str">
        <f>'Beer Data Sheet'!Y23</f>
        <v>Saaz</v>
      </c>
      <c r="H123" s="2696">
        <f>'Beer Data Sheet'!Z23</f>
        <v>2.2000000000000002</v>
      </c>
      <c r="I123" s="2280"/>
      <c r="J123" s="2286">
        <f t="shared" si="65"/>
        <v>0</v>
      </c>
      <c r="K123" s="680"/>
      <c r="L123" s="5076"/>
      <c r="M123" s="5077"/>
      <c r="N123" s="5077"/>
      <c r="O123" s="5077"/>
      <c r="P123" s="5078"/>
      <c r="Q123" s="3451"/>
      <c r="R123" s="3279"/>
      <c r="S123" s="3279"/>
      <c r="T123" s="3279"/>
      <c r="U123" s="3279"/>
      <c r="V123" s="3279"/>
      <c r="W123" s="3279"/>
      <c r="X123" s="3279"/>
      <c r="Y123" s="3279"/>
      <c r="Z123" s="3279"/>
      <c r="AA123" s="3279"/>
      <c r="AB123" s="3279"/>
      <c r="AC123" s="663">
        <f t="shared" si="56"/>
        <v>0</v>
      </c>
      <c r="AD123" s="663"/>
      <c r="AE123" s="663"/>
      <c r="AF123" s="664">
        <f>'Beer Data Sheet'!Z55*$L$8/100</f>
        <v>199.5</v>
      </c>
      <c r="AG123" s="765">
        <f t="shared" si="58"/>
        <v>0.75</v>
      </c>
      <c r="AH123" s="664">
        <f>'Beer Data Sheet'!AD55</f>
        <v>148</v>
      </c>
      <c r="AI123" s="671">
        <f t="shared" si="62"/>
        <v>65.835000000000008</v>
      </c>
      <c r="AJ123" s="663">
        <f t="shared" si="63"/>
        <v>49.376250000000006</v>
      </c>
      <c r="AK123" s="766">
        <f t="shared" si="64"/>
        <v>488.4</v>
      </c>
      <c r="AL123" s="626"/>
      <c r="AM123" s="663"/>
      <c r="AN123" s="626"/>
      <c r="AO123" s="626"/>
      <c r="AP123" s="626"/>
      <c r="AQ123" s="626"/>
      <c r="AR123" s="626"/>
      <c r="AS123" s="626"/>
      <c r="AT123" s="626"/>
      <c r="AU123" s="626"/>
      <c r="AV123" s="626"/>
      <c r="AW123" s="692"/>
      <c r="AX123" s="690"/>
      <c r="AY123" s="692"/>
      <c r="AZ123" s="692"/>
      <c r="BA123" s="555"/>
    </row>
    <row r="124" spans="1:53" ht="15.75" customHeight="1">
      <c r="A124" s="5111"/>
      <c r="B124" s="2946" t="str">
        <f>'Beer Data Sheet'!Y56</f>
        <v>Roast barley</v>
      </c>
      <c r="C124" s="2292"/>
      <c r="D124" s="769" t="s">
        <v>40</v>
      </c>
      <c r="E124" s="2294">
        <f>C124*(F$96/C$96)*(C$98/F$98)</f>
        <v>0</v>
      </c>
      <c r="F124" s="670" t="s">
        <v>40</v>
      </c>
      <c r="G124" s="2922" t="str">
        <f>'Beer Data Sheet'!Y24</f>
        <v>Styrian Goldings</v>
      </c>
      <c r="H124" s="2696">
        <f>'Beer Data Sheet'!Z24</f>
        <v>5.5</v>
      </c>
      <c r="I124" s="2280"/>
      <c r="J124" s="2286">
        <f t="shared" si="65"/>
        <v>0</v>
      </c>
      <c r="K124" s="680"/>
      <c r="L124" s="5076"/>
      <c r="M124" s="5077"/>
      <c r="N124" s="5077"/>
      <c r="O124" s="5077"/>
      <c r="P124" s="5078"/>
      <c r="Q124" s="3451"/>
      <c r="R124" s="3279"/>
      <c r="S124" s="3279"/>
      <c r="T124" s="3279"/>
      <c r="U124" s="3279"/>
      <c r="V124" s="3279"/>
      <c r="W124" s="3279"/>
      <c r="X124" s="3279"/>
      <c r="Y124" s="3279"/>
      <c r="Z124" s="3279"/>
      <c r="AA124" s="3279"/>
      <c r="AB124" s="2617"/>
      <c r="AC124" s="663">
        <f t="shared" si="56"/>
        <v>0</v>
      </c>
      <c r="AD124" s="663"/>
      <c r="AE124" s="663"/>
      <c r="AF124" s="664">
        <f>'Beer Data Sheet'!Z56*$L$8/100</f>
        <v>198.75</v>
      </c>
      <c r="AG124" s="765">
        <f>C$133/100</f>
        <v>0.75</v>
      </c>
      <c r="AH124" s="664">
        <f>'Beer Data Sheet'!AD56</f>
        <v>902.8</v>
      </c>
      <c r="AI124" s="671">
        <f t="shared" si="62"/>
        <v>0</v>
      </c>
      <c r="AJ124" s="663">
        <f t="shared" si="63"/>
        <v>0</v>
      </c>
      <c r="AK124" s="766">
        <f t="shared" si="64"/>
        <v>0</v>
      </c>
      <c r="AL124" s="626"/>
      <c r="AM124" s="663"/>
      <c r="AN124" s="626"/>
      <c r="AO124" s="626"/>
      <c r="AP124" s="626"/>
      <c r="AQ124" s="626"/>
      <c r="AR124" s="626"/>
      <c r="AS124" s="626"/>
      <c r="AT124" s="626"/>
      <c r="AU124" s="626"/>
      <c r="AV124" s="626"/>
      <c r="AW124" s="692"/>
      <c r="AX124" s="690"/>
      <c r="AY124" s="692"/>
      <c r="AZ124" s="692"/>
      <c r="BA124" s="555"/>
    </row>
    <row r="125" spans="1:53" ht="15.75" customHeight="1">
      <c r="A125" s="5112" t="s">
        <v>143</v>
      </c>
      <c r="B125" s="2947" t="str">
        <f>'Beer Data Sheet'!Y57</f>
        <v>Cane ̸ beet sugar (sucrose)</v>
      </c>
      <c r="C125" s="2292">
        <v>125</v>
      </c>
      <c r="D125" s="771" t="s">
        <v>40</v>
      </c>
      <c r="E125" s="2294">
        <f t="shared" ref="E125:E130" si="66">C125*(F$96/C$96)</f>
        <v>81.521739130434781</v>
      </c>
      <c r="F125" s="675" t="s">
        <v>40</v>
      </c>
      <c r="G125" s="2922" t="str">
        <f>'Beer Data Sheet'!Y25</f>
        <v>Target</v>
      </c>
      <c r="H125" s="2696">
        <f>'Beer Data Sheet'!Z25</f>
        <v>11.2</v>
      </c>
      <c r="I125" s="2280"/>
      <c r="J125" s="2286">
        <f t="shared" si="65"/>
        <v>0</v>
      </c>
      <c r="K125" s="680"/>
      <c r="L125" s="5076"/>
      <c r="M125" s="5077"/>
      <c r="N125" s="5077"/>
      <c r="O125" s="5077"/>
      <c r="P125" s="5078"/>
      <c r="Q125" s="5185" t="s">
        <v>704</v>
      </c>
      <c r="R125" s="5186"/>
      <c r="S125" s="5186"/>
      <c r="T125" s="5186"/>
      <c r="U125" s="5186"/>
      <c r="V125" s="5186"/>
      <c r="W125" s="5186"/>
      <c r="X125" s="5186"/>
      <c r="Y125" s="5186"/>
      <c r="Z125" s="5186"/>
      <c r="AA125" s="5186"/>
      <c r="AB125" s="3280"/>
      <c r="AC125" s="663">
        <f t="shared" si="56"/>
        <v>0</v>
      </c>
      <c r="AD125" s="663"/>
      <c r="AE125" s="663"/>
      <c r="AF125" s="664">
        <f>'Beer Data Sheet'!Z57*$L$8/100</f>
        <v>281.25</v>
      </c>
      <c r="AG125" s="765">
        <f>'Beer Data Sheet'!AA57</f>
        <v>1</v>
      </c>
      <c r="AH125" s="664">
        <f>'Beer Data Sheet'!AD57</f>
        <v>0</v>
      </c>
      <c r="AI125" s="671">
        <f t="shared" si="62"/>
        <v>35.15625</v>
      </c>
      <c r="AJ125" s="663">
        <f t="shared" si="63"/>
        <v>35.15625</v>
      </c>
      <c r="AK125" s="766">
        <f t="shared" si="64"/>
        <v>0</v>
      </c>
      <c r="AL125" s="626"/>
      <c r="AM125" s="663"/>
      <c r="AN125" s="626"/>
      <c r="AO125" s="626"/>
      <c r="AP125" s="626"/>
      <c r="AQ125" s="626"/>
      <c r="AR125" s="626"/>
      <c r="AS125" s="626"/>
      <c r="AT125" s="626"/>
      <c r="AU125" s="626"/>
      <c r="AV125" s="626"/>
      <c r="AW125" s="692"/>
      <c r="AX125" s="690"/>
      <c r="AY125" s="692"/>
      <c r="AZ125" s="692"/>
      <c r="BA125" s="555"/>
    </row>
    <row r="126" spans="1:53" ht="15.75" customHeight="1">
      <c r="A126" s="5112"/>
      <c r="B126" s="2947" t="str">
        <f>'Beer Data Sheet'!Y58</f>
        <v>Brown sugar (light)</v>
      </c>
      <c r="C126" s="2292"/>
      <c r="D126" s="772" t="s">
        <v>40</v>
      </c>
      <c r="E126" s="2294">
        <f t="shared" si="66"/>
        <v>0</v>
      </c>
      <c r="F126" s="675" t="s">
        <v>40</v>
      </c>
      <c r="G126" s="2922" t="str">
        <f>'Beer Data Sheet'!Y26</f>
        <v>WGV</v>
      </c>
      <c r="H126" s="2696">
        <f>'Beer Data Sheet'!Z26</f>
        <v>6.3</v>
      </c>
      <c r="I126" s="2280"/>
      <c r="J126" s="2286">
        <f t="shared" si="65"/>
        <v>0</v>
      </c>
      <c r="K126" s="680"/>
      <c r="L126" s="5076"/>
      <c r="M126" s="5077"/>
      <c r="N126" s="5077"/>
      <c r="O126" s="5077"/>
      <c r="P126" s="5078"/>
      <c r="Q126" s="5187" t="s">
        <v>705</v>
      </c>
      <c r="R126" s="5188"/>
      <c r="S126" s="5188"/>
      <c r="T126" s="5188"/>
      <c r="U126" s="5188"/>
      <c r="V126" s="5188"/>
      <c r="W126" s="5188"/>
      <c r="X126" s="5188"/>
      <c r="Y126" s="5188"/>
      <c r="Z126" s="5188"/>
      <c r="AA126" s="5188"/>
      <c r="AB126" s="453"/>
      <c r="AC126" s="663">
        <f t="shared" si="56"/>
        <v>0</v>
      </c>
      <c r="AD126" s="663"/>
      <c r="AE126" s="663"/>
      <c r="AF126" s="664">
        <f>'Beer Data Sheet'!Z58*$L$8/100</f>
        <v>277.5</v>
      </c>
      <c r="AG126" s="765">
        <f>'Beer Data Sheet'!AA58</f>
        <v>1</v>
      </c>
      <c r="AH126" s="664">
        <f>'Beer Data Sheet'!AD58</f>
        <v>16</v>
      </c>
      <c r="AI126" s="671">
        <f t="shared" si="62"/>
        <v>0</v>
      </c>
      <c r="AJ126" s="663">
        <f t="shared" si="63"/>
        <v>0</v>
      </c>
      <c r="AK126" s="766">
        <f t="shared" si="64"/>
        <v>0</v>
      </c>
      <c r="AL126" s="626"/>
      <c r="AM126" s="663"/>
      <c r="AN126" s="626"/>
      <c r="AO126" s="626"/>
      <c r="AP126" s="626"/>
      <c r="AQ126" s="626"/>
      <c r="AR126" s="626"/>
      <c r="AS126" s="626"/>
      <c r="AT126" s="626"/>
      <c r="AU126" s="626"/>
      <c r="AV126" s="626"/>
      <c r="AW126" s="692"/>
      <c r="AX126" s="690"/>
      <c r="AY126" s="692"/>
      <c r="AZ126" s="692"/>
      <c r="BA126" s="555"/>
    </row>
    <row r="127" spans="1:53" ht="15.75" customHeight="1">
      <c r="A127" s="5112"/>
      <c r="B127" s="2947" t="str">
        <f>'Beer Data Sheet'!Y59</f>
        <v>Brown sugar (medium)</v>
      </c>
      <c r="C127" s="2292"/>
      <c r="D127" s="772" t="s">
        <v>40</v>
      </c>
      <c r="E127" s="2294">
        <f t="shared" si="66"/>
        <v>0</v>
      </c>
      <c r="F127" s="675" t="s">
        <v>40</v>
      </c>
      <c r="G127" s="2922" t="str">
        <f>'Beer Data Sheet'!Y27</f>
        <v xml:space="preserve">Other </v>
      </c>
      <c r="H127" s="2696">
        <f>'Beer Data Sheet'!Z27</f>
        <v>0</v>
      </c>
      <c r="I127" s="2280"/>
      <c r="J127" s="2286">
        <f t="shared" si="65"/>
        <v>0</v>
      </c>
      <c r="K127" s="680"/>
      <c r="L127" s="5076"/>
      <c r="M127" s="5077"/>
      <c r="N127" s="5077"/>
      <c r="O127" s="5077"/>
      <c r="P127" s="5078"/>
      <c r="Q127" s="5189" t="s">
        <v>751</v>
      </c>
      <c r="R127" s="5190"/>
      <c r="S127" s="5190"/>
      <c r="T127" s="5190"/>
      <c r="U127" s="5190"/>
      <c r="V127" s="5190"/>
      <c r="W127" s="5190"/>
      <c r="X127" s="5190"/>
      <c r="Y127" s="5190"/>
      <c r="Z127" s="5190"/>
      <c r="AA127" s="5190"/>
      <c r="AB127" s="767"/>
      <c r="AC127" s="663">
        <f t="shared" si="56"/>
        <v>0</v>
      </c>
      <c r="AD127" s="663"/>
      <c r="AE127" s="663"/>
      <c r="AF127" s="664">
        <f>'Beer Data Sheet'!Z59*$L$8/100</f>
        <v>277.5</v>
      </c>
      <c r="AG127" s="765">
        <f>'Beer Data Sheet'!AA59</f>
        <v>1</v>
      </c>
      <c r="AH127" s="664">
        <f>'Beer Data Sheet'!AD59</f>
        <v>45</v>
      </c>
      <c r="AI127" s="671">
        <f t="shared" si="62"/>
        <v>0</v>
      </c>
      <c r="AJ127" s="663">
        <f t="shared" si="63"/>
        <v>0</v>
      </c>
      <c r="AK127" s="766">
        <f t="shared" si="64"/>
        <v>0</v>
      </c>
      <c r="AL127" s="626"/>
      <c r="AM127" s="663"/>
      <c r="AN127" s="626"/>
      <c r="AO127" s="626"/>
      <c r="AP127" s="626"/>
      <c r="AQ127" s="626"/>
      <c r="AR127" s="626"/>
      <c r="AS127" s="626"/>
      <c r="AT127" s="626"/>
      <c r="AU127" s="626"/>
      <c r="AV127" s="626"/>
      <c r="AW127" s="692"/>
      <c r="AX127" s="690"/>
      <c r="AY127" s="692"/>
      <c r="AZ127" s="692"/>
      <c r="BA127" s="555"/>
    </row>
    <row r="128" spans="1:53" ht="15.75" customHeight="1">
      <c r="A128" s="5113"/>
      <c r="B128" s="2947" t="str">
        <f>'Beer Data Sheet'!Y60</f>
        <v>Brewing sugar</v>
      </c>
      <c r="C128" s="2292"/>
      <c r="D128" s="772" t="s">
        <v>40</v>
      </c>
      <c r="E128" s="2294">
        <f t="shared" si="66"/>
        <v>0</v>
      </c>
      <c r="F128" s="675" t="s">
        <v>40</v>
      </c>
      <c r="G128" s="2922" t="str">
        <f>'Beer Data Sheet'!Y28</f>
        <v xml:space="preserve">Other </v>
      </c>
      <c r="H128" s="2696">
        <f>'Beer Data Sheet'!Z28</f>
        <v>0</v>
      </c>
      <c r="I128" s="2280"/>
      <c r="J128" s="2286">
        <f t="shared" si="65"/>
        <v>0</v>
      </c>
      <c r="K128" s="680"/>
      <c r="L128" s="5076"/>
      <c r="M128" s="5077"/>
      <c r="N128" s="5077"/>
      <c r="O128" s="5077"/>
      <c r="P128" s="5078"/>
      <c r="Q128" s="453"/>
      <c r="R128" s="770"/>
      <c r="S128" s="767"/>
      <c r="T128" s="767"/>
      <c r="U128" s="767"/>
      <c r="V128" s="617"/>
      <c r="W128" s="617"/>
      <c r="X128" s="617"/>
      <c r="Y128" s="617"/>
      <c r="Z128" s="767"/>
      <c r="AA128" s="767"/>
      <c r="AB128" s="767"/>
      <c r="AC128" s="663">
        <f t="shared" si="56"/>
        <v>0</v>
      </c>
      <c r="AD128" s="663"/>
      <c r="AE128" s="663"/>
      <c r="AF128" s="664">
        <f>'Beer Data Sheet'!Z60*$L$8/100</f>
        <v>270</v>
      </c>
      <c r="AG128" s="765">
        <f>'Beer Data Sheet'!AA60</f>
        <v>0.95</v>
      </c>
      <c r="AH128" s="664">
        <f>'Beer Data Sheet'!AD60</f>
        <v>0</v>
      </c>
      <c r="AI128" s="671">
        <f t="shared" si="62"/>
        <v>0</v>
      </c>
      <c r="AJ128" s="663">
        <f t="shared" si="63"/>
        <v>0</v>
      </c>
      <c r="AK128" s="766">
        <f t="shared" si="64"/>
        <v>0</v>
      </c>
      <c r="AL128" s="626"/>
      <c r="AM128" s="663"/>
      <c r="AN128" s="626"/>
      <c r="AO128" s="626"/>
      <c r="AP128" s="626"/>
      <c r="AQ128" s="626"/>
      <c r="AR128" s="626"/>
      <c r="AS128" s="626"/>
      <c r="AT128" s="626"/>
      <c r="AU128" s="626"/>
      <c r="AV128" s="626"/>
      <c r="AW128" s="692"/>
      <c r="AX128" s="690"/>
      <c r="AY128" s="692"/>
      <c r="AZ128" s="692"/>
      <c r="BA128" s="555"/>
    </row>
    <row r="129" spans="1:53" ht="15.75" customHeight="1">
      <c r="A129" s="5114"/>
      <c r="B129" s="3574" t="str">
        <f>'Beer Data Sheet'!Y61</f>
        <v>Lactose (non-fermentable sugar, no boil)</v>
      </c>
      <c r="C129" s="2295"/>
      <c r="D129" s="773" t="s">
        <v>40</v>
      </c>
      <c r="E129" s="2296">
        <f t="shared" si="66"/>
        <v>0</v>
      </c>
      <c r="F129" s="774" t="s">
        <v>40</v>
      </c>
      <c r="G129" s="2922" t="str">
        <f>'Beer Data Sheet'!Y29</f>
        <v xml:space="preserve">Other </v>
      </c>
      <c r="H129" s="2696">
        <f>'Beer Data Sheet'!Z29</f>
        <v>0</v>
      </c>
      <c r="I129" s="2280"/>
      <c r="J129" s="2286">
        <f t="shared" si="65"/>
        <v>0</v>
      </c>
      <c r="K129" s="680"/>
      <c r="L129" s="5076"/>
      <c r="M129" s="5077"/>
      <c r="N129" s="5077"/>
      <c r="O129" s="5077"/>
      <c r="P129" s="5078"/>
      <c r="Q129" s="453"/>
      <c r="R129" s="656"/>
      <c r="S129" s="775"/>
      <c r="T129" s="775"/>
      <c r="U129" s="775"/>
      <c r="V129" s="617"/>
      <c r="W129" s="617"/>
      <c r="X129" s="617"/>
      <c r="Y129" s="617"/>
      <c r="Z129" s="776"/>
      <c r="AA129" s="776"/>
      <c r="AB129" s="777"/>
      <c r="AC129" s="663">
        <f t="shared" si="56"/>
        <v>0</v>
      </c>
      <c r="AD129" s="663"/>
      <c r="AE129" s="663"/>
      <c r="AF129" s="664">
        <f>'Beer Data Sheet'!Z61*$L$8/100</f>
        <v>285</v>
      </c>
      <c r="AG129" s="663">
        <f>'Beer Data Sheet'!AA61</f>
        <v>0</v>
      </c>
      <c r="AH129" s="664">
        <f>'Beer Data Sheet'!AD61</f>
        <v>30</v>
      </c>
      <c r="AI129" s="671">
        <f t="shared" si="62"/>
        <v>0</v>
      </c>
      <c r="AJ129" s="663">
        <f t="shared" si="63"/>
        <v>0</v>
      </c>
      <c r="AK129" s="766">
        <f t="shared" si="64"/>
        <v>0</v>
      </c>
      <c r="AL129" s="626"/>
      <c r="AM129" s="663"/>
      <c r="AN129" s="626"/>
      <c r="AO129" s="626"/>
      <c r="AP129" s="626"/>
      <c r="AQ129" s="626"/>
      <c r="AR129" s="626"/>
      <c r="AS129" s="626"/>
      <c r="AT129" s="626"/>
      <c r="AU129" s="626"/>
      <c r="AV129" s="626"/>
      <c r="AW129" s="692"/>
      <c r="AX129" s="690"/>
      <c r="AY129" s="692"/>
      <c r="AZ129" s="692"/>
      <c r="BA129" s="555"/>
    </row>
    <row r="130" spans="1:53" ht="15.75" customHeight="1">
      <c r="A130" s="778"/>
      <c r="B130" s="537" t="s">
        <v>677</v>
      </c>
      <c r="C130" s="2297">
        <f>C96*C131+($AF$125*C125*AG125+$AF$126*C126*AG126+$AF$127*C127*AG127+$AF$128*C128*AG128)/375</f>
        <v>166.2</v>
      </c>
      <c r="D130" s="779" t="s">
        <v>40</v>
      </c>
      <c r="E130" s="2727">
        <f t="shared" si="66"/>
        <v>108.39130434782608</v>
      </c>
      <c r="F130" s="780" t="s">
        <v>40</v>
      </c>
      <c r="G130" s="2922" t="str">
        <f>'Beer Data Sheet'!Y30</f>
        <v xml:space="preserve">Other </v>
      </c>
      <c r="H130" s="2696">
        <f>'Beer Data Sheet'!Z30</f>
        <v>0</v>
      </c>
      <c r="I130" s="2280"/>
      <c r="J130" s="2286">
        <f t="shared" si="65"/>
        <v>0</v>
      </c>
      <c r="K130" s="680"/>
      <c r="L130" s="5076"/>
      <c r="M130" s="5077"/>
      <c r="N130" s="5077"/>
      <c r="O130" s="5077"/>
      <c r="P130" s="5078"/>
      <c r="Q130" s="453"/>
      <c r="R130" s="656"/>
      <c r="S130" s="776"/>
      <c r="T130" s="776"/>
      <c r="U130" s="776"/>
      <c r="V130" s="617"/>
      <c r="W130" s="617"/>
      <c r="X130" s="617"/>
      <c r="Y130" s="617"/>
      <c r="Z130" s="776"/>
      <c r="AA130" s="776"/>
      <c r="AB130" s="555"/>
      <c r="AC130" s="663">
        <f t="shared" si="56"/>
        <v>0</v>
      </c>
      <c r="AD130" s="663"/>
      <c r="AE130" s="626"/>
      <c r="AF130" s="664">
        <f>'Beer Data Sheet'!Z62*$L$8/100</f>
        <v>0</v>
      </c>
      <c r="AG130" s="663">
        <f>'Beer Data Sheet'!AA62</f>
        <v>0</v>
      </c>
      <c r="AH130" s="664">
        <f>'Beer Data Sheet'!AD62</f>
        <v>0</v>
      </c>
      <c r="AI130" s="671">
        <f t="shared" si="62"/>
        <v>0</v>
      </c>
      <c r="AJ130" s="663">
        <f t="shared" si="63"/>
        <v>0</v>
      </c>
      <c r="AK130" s="766">
        <f t="shared" si="64"/>
        <v>0</v>
      </c>
      <c r="AL130" s="626"/>
      <c r="AM130" s="626"/>
      <c r="AN130" s="626"/>
      <c r="AO130" s="626"/>
      <c r="AP130" s="626"/>
      <c r="AQ130" s="626"/>
      <c r="AR130" s="626"/>
      <c r="AS130" s="626"/>
      <c r="AT130" s="626"/>
      <c r="AU130" s="626"/>
      <c r="AV130" s="626"/>
      <c r="AW130" s="692"/>
      <c r="AX130" s="690"/>
      <c r="AY130" s="692"/>
      <c r="AZ130" s="692"/>
      <c r="BA130" s="555"/>
    </row>
    <row r="131" spans="1:53" ht="15.75" customHeight="1">
      <c r="A131" s="778"/>
      <c r="B131" s="3182" t="str">
        <f>"Priming sugar (sucrose) g/litre, 1 level tsp  = "&amp;'Beer Data Sheet'!O$20&amp;"g)"</f>
        <v>Priming sugar (sucrose) g/litre, 1 level tsp  = 3.15g)</v>
      </c>
      <c r="C131" s="2948">
        <v>3.15</v>
      </c>
      <c r="D131" s="781" t="str">
        <f>"g = "&amp;FIXED(C131/'Beer Data Sheet'!$O$20)&amp;" tsp."</f>
        <v>g = 1.00 tsp.</v>
      </c>
      <c r="E131" s="2298">
        <f>C131</f>
        <v>3.15</v>
      </c>
      <c r="F131" s="782" t="str">
        <f>"g = "&amp;FIXED(E131/'Beer Data Sheet'!$O$20)&amp;" tsp."</f>
        <v>g = 1.00 tsp.</v>
      </c>
      <c r="G131" s="2922" t="str">
        <f>'Beer Data Sheet'!Y31</f>
        <v xml:space="preserve">Other </v>
      </c>
      <c r="H131" s="2696">
        <f>'Beer Data Sheet'!Z31</f>
        <v>0</v>
      </c>
      <c r="I131" s="2280"/>
      <c r="J131" s="2286">
        <f t="shared" si="65"/>
        <v>0</v>
      </c>
      <c r="K131" s="680"/>
      <c r="L131" s="5079"/>
      <c r="M131" s="5080"/>
      <c r="N131" s="5080"/>
      <c r="O131" s="5080"/>
      <c r="P131" s="5081"/>
      <c r="Q131" s="453"/>
      <c r="R131" s="656"/>
      <c r="S131" s="656"/>
      <c r="T131" s="656"/>
      <c r="U131" s="656"/>
      <c r="V131" s="617"/>
      <c r="W131" s="617"/>
      <c r="X131" s="617"/>
      <c r="Y131" s="617"/>
      <c r="Z131" s="656"/>
      <c r="AA131" s="656"/>
      <c r="AB131" s="453"/>
      <c r="AC131" s="663">
        <f t="shared" si="56"/>
        <v>0</v>
      </c>
      <c r="AD131" s="663"/>
      <c r="AE131" s="663"/>
      <c r="AF131" s="683"/>
      <c r="AG131" s="683"/>
      <c r="AH131" s="683"/>
      <c r="AI131" s="664"/>
      <c r="AJ131" s="684">
        <f>0.001*375*C131*C96</f>
        <v>27.168749999999999</v>
      </c>
      <c r="AK131" s="626"/>
      <c r="AL131" s="626"/>
      <c r="AM131" s="684"/>
      <c r="AN131" s="626"/>
      <c r="AO131" s="626"/>
      <c r="AP131" s="626"/>
      <c r="AQ131" s="626"/>
      <c r="AR131" s="626"/>
      <c r="AS131" s="626"/>
      <c r="AT131" s="626"/>
      <c r="AU131" s="626"/>
      <c r="AV131" s="626"/>
      <c r="AW131" s="692"/>
      <c r="AX131" s="690"/>
      <c r="AY131" s="692"/>
      <c r="AZ131" s="692"/>
      <c r="BA131" s="555"/>
    </row>
    <row r="132" spans="1:53" ht="15.75" customHeight="1">
      <c r="A132" s="783"/>
      <c r="B132" s="2914" t="s">
        <v>1757</v>
      </c>
      <c r="C132" s="2299">
        <f>C131*'Beer Data Sheet'!AF$3+VLOOKUP(L9,'Beer Data Sheet'!AE6:AF49,2)</f>
        <v>1.7022631578947367</v>
      </c>
      <c r="D132" s="681" t="s">
        <v>678</v>
      </c>
      <c r="E132" s="2300">
        <f>E131*'Beer Data Sheet'!AF$3+VLOOKUP(L9,'Beer Data Sheet'!AE6:AF49,2)</f>
        <v>1.7022631578947367</v>
      </c>
      <c r="F132" s="2730" t="s">
        <v>678</v>
      </c>
      <c r="G132" s="2922" t="str">
        <f>'Beer Data Sheet'!Y32</f>
        <v xml:space="preserve">Other </v>
      </c>
      <c r="H132" s="2696">
        <f>'Beer Data Sheet'!Z32</f>
        <v>0</v>
      </c>
      <c r="I132" s="2280"/>
      <c r="J132" s="2286">
        <f t="shared" si="65"/>
        <v>0</v>
      </c>
      <c r="K132" s="453"/>
      <c r="L132" s="453"/>
      <c r="M132" s="453"/>
      <c r="N132" s="453"/>
      <c r="O132" s="453"/>
      <c r="P132" s="453"/>
      <c r="Q132" s="453"/>
      <c r="R132" s="3530"/>
      <c r="S132" s="656"/>
      <c r="T132" s="656"/>
      <c r="U132" s="656"/>
      <c r="V132" s="617"/>
      <c r="W132" s="617"/>
      <c r="X132" s="617"/>
      <c r="Y132" s="617"/>
      <c r="Z132" s="656"/>
      <c r="AA132" s="656"/>
      <c r="AB132" s="453"/>
      <c r="AC132" s="663">
        <f t="shared" si="56"/>
        <v>0</v>
      </c>
      <c r="AD132" s="663"/>
      <c r="AE132" s="663"/>
      <c r="AF132" s="663"/>
      <c r="AG132" s="663"/>
      <c r="AH132" s="663"/>
      <c r="AI132" s="663"/>
      <c r="AJ132" s="684"/>
      <c r="AK132" s="663"/>
      <c r="AL132" s="684"/>
      <c r="AM132" s="684"/>
      <c r="AN132" s="626"/>
      <c r="AO132" s="626"/>
      <c r="AP132" s="626"/>
      <c r="AQ132" s="626"/>
      <c r="AR132" s="626"/>
      <c r="AS132" s="626"/>
      <c r="AT132" s="626"/>
      <c r="AU132" s="626"/>
      <c r="AV132" s="626"/>
      <c r="AW132" s="692"/>
      <c r="AX132" s="690"/>
      <c r="AY132" s="692"/>
      <c r="AZ132" s="692"/>
      <c r="BA132" s="555"/>
    </row>
    <row r="133" spans="1:53" ht="15.75" customHeight="1">
      <c r="A133" s="738"/>
      <c r="B133" s="2949" t="s">
        <v>708</v>
      </c>
      <c r="C133" s="2233">
        <v>75</v>
      </c>
      <c r="D133" s="5172"/>
      <c r="E133" s="5173"/>
      <c r="F133" s="2731" t="s">
        <v>709</v>
      </c>
      <c r="G133" s="2923" t="s">
        <v>706</v>
      </c>
      <c r="H133" s="2287"/>
      <c r="I133" s="2281"/>
      <c r="J133" s="2288">
        <f>I133*F$96/C$96</f>
        <v>0</v>
      </c>
      <c r="K133" s="5174" t="s">
        <v>1799</v>
      </c>
      <c r="L133" s="5118"/>
      <c r="M133" s="5118"/>
      <c r="N133" s="5118"/>
      <c r="O133" s="5118"/>
      <c r="P133" s="5118"/>
      <c r="Q133" s="744"/>
      <c r="R133" s="656"/>
      <c r="S133" s="776"/>
      <c r="T133" s="776"/>
      <c r="U133" s="776"/>
      <c r="V133" s="617"/>
      <c r="W133" s="617"/>
      <c r="X133" s="617"/>
      <c r="Y133" s="617"/>
      <c r="Z133" s="776"/>
      <c r="AA133" s="776"/>
      <c r="AB133" s="453"/>
      <c r="AC133" s="663">
        <f>SUM(AC109:AC132)</f>
        <v>665</v>
      </c>
      <c r="AD133" s="663"/>
      <c r="AE133" s="663"/>
      <c r="AF133" s="663"/>
      <c r="AG133" s="663"/>
      <c r="AH133" s="663"/>
      <c r="AI133" s="687" t="s">
        <v>683</v>
      </c>
      <c r="AJ133" s="684">
        <f>SUM(AJ109:AJ124)/(C96)</f>
        <v>25.404945652173915</v>
      </c>
      <c r="AK133" s="663"/>
      <c r="AL133" s="684"/>
      <c r="AM133" s="684"/>
      <c r="AN133" s="626"/>
      <c r="AO133" s="626"/>
      <c r="AP133" s="626"/>
      <c r="AQ133" s="626"/>
      <c r="AR133" s="626"/>
      <c r="AS133" s="626"/>
      <c r="AT133" s="626"/>
      <c r="AU133" s="626"/>
      <c r="AV133" s="626"/>
      <c r="AW133" s="692"/>
      <c r="AX133" s="690"/>
      <c r="AY133" s="692"/>
      <c r="AZ133" s="692"/>
      <c r="BA133" s="555"/>
    </row>
    <row r="134" spans="1:53" ht="15.75" customHeight="1">
      <c r="A134" s="1886"/>
      <c r="B134" s="2950" t="s">
        <v>1714</v>
      </c>
      <c r="C134" s="2951" t="str">
        <f>FIXED((100*(1-(AJ138/AJ137))),1)&amp;"%"</f>
        <v>76.4%</v>
      </c>
      <c r="D134" s="5175" t="s">
        <v>1746</v>
      </c>
      <c r="E134" s="5176"/>
      <c r="F134" s="2952" t="str">
        <f>FIXED(100*(1-(((0.1808*AJ137)+(0.8192*AJ138))/AJ137)),1)&amp;"%"</f>
        <v>62.6%</v>
      </c>
      <c r="G134" s="3344" t="s">
        <v>681</v>
      </c>
      <c r="H134" s="784" t="s">
        <v>682</v>
      </c>
      <c r="I134" s="2282"/>
      <c r="J134" s="2289">
        <f>I134*F$96/C$96</f>
        <v>0</v>
      </c>
      <c r="K134" s="5120" t="str">
        <f>"ml = "&amp;FIXED(J134/5,2)&amp;" tsp (1 tsp = 5ml)."</f>
        <v>ml = 0.00 tsp (1 tsp = 5ml).</v>
      </c>
      <c r="L134" s="5121"/>
      <c r="M134" s="5121"/>
      <c r="N134" s="2188"/>
      <c r="O134" s="2188"/>
      <c r="P134" s="2188"/>
      <c r="Q134" s="1886"/>
      <c r="R134" s="1886"/>
      <c r="S134" s="1886"/>
      <c r="T134" s="1886"/>
      <c r="U134" s="626"/>
      <c r="V134" s="617"/>
      <c r="W134" s="617"/>
      <c r="X134" s="617"/>
      <c r="Y134" s="617"/>
      <c r="Z134" s="785"/>
      <c r="AA134" s="785"/>
      <c r="AB134" s="785"/>
      <c r="AC134" s="663"/>
      <c r="AD134" s="663"/>
      <c r="AE134" s="663"/>
      <c r="AF134" s="358" t="s">
        <v>207</v>
      </c>
      <c r="AG134" s="663"/>
      <c r="AH134" s="626"/>
      <c r="AI134" s="687" t="s">
        <v>685</v>
      </c>
      <c r="AJ134" s="441">
        <f>(1.079*(SUM(AJ125:AJ131)/C96))</f>
        <v>2.9238554347826087</v>
      </c>
      <c r="AK134" s="626"/>
      <c r="AL134" s="441"/>
      <c r="AM134" s="441"/>
      <c r="AN134" s="626"/>
      <c r="AO134" s="626"/>
      <c r="AP134" s="626"/>
      <c r="AQ134" s="626"/>
      <c r="AR134" s="626"/>
      <c r="AS134" s="626"/>
      <c r="AT134" s="626"/>
      <c r="AU134" s="626"/>
      <c r="AV134" s="626"/>
      <c r="AW134" s="692"/>
      <c r="AX134" s="690"/>
      <c r="AY134" s="692"/>
      <c r="AZ134" s="692"/>
      <c r="BA134" s="555"/>
    </row>
    <row r="135" spans="1:53" ht="15.75" customHeight="1">
      <c r="A135" s="1886"/>
      <c r="B135" s="3450"/>
      <c r="C135" s="2619"/>
      <c r="D135" s="1611"/>
      <c r="E135" s="1611"/>
      <c r="F135" s="2619"/>
      <c r="G135" s="3447"/>
      <c r="H135" s="3448"/>
      <c r="I135" s="3448"/>
      <c r="J135" s="3448"/>
      <c r="K135" s="3531"/>
      <c r="L135" s="3531"/>
      <c r="M135" s="3531"/>
      <c r="N135" s="2188"/>
      <c r="O135" s="2188"/>
      <c r="P135" s="2188"/>
      <c r="Q135" s="1886"/>
      <c r="R135" s="1886"/>
      <c r="S135" s="1886"/>
      <c r="T135" s="1886"/>
      <c r="U135" s="626"/>
      <c r="V135" s="617"/>
      <c r="W135" s="617"/>
      <c r="X135" s="617"/>
      <c r="Y135" s="617"/>
      <c r="Z135" s="785"/>
      <c r="AA135" s="785"/>
      <c r="AB135" s="785"/>
      <c r="AC135" s="663"/>
      <c r="AD135" s="663"/>
      <c r="AE135" s="663"/>
      <c r="AF135" s="663"/>
      <c r="AG135" s="663"/>
      <c r="AH135" s="626"/>
      <c r="AI135" s="687" t="s">
        <v>710</v>
      </c>
      <c r="AJ135" s="684">
        <f>(1.079*(SUM(AJ125:AJ129))/C96)</f>
        <v>1.6492866847826086</v>
      </c>
      <c r="AK135" s="626"/>
      <c r="AL135" s="441"/>
      <c r="AM135" s="441"/>
      <c r="AN135" s="626"/>
      <c r="AO135" s="626"/>
      <c r="AP135" s="626"/>
      <c r="AQ135" s="626"/>
      <c r="AR135" s="626"/>
      <c r="AS135" s="626"/>
      <c r="AT135" s="626"/>
      <c r="AU135" s="626"/>
      <c r="AV135" s="626"/>
      <c r="AW135" s="692"/>
      <c r="AX135" s="690"/>
      <c r="AY135" s="692"/>
      <c r="AZ135" s="692"/>
      <c r="BA135" s="555"/>
    </row>
    <row r="136" spans="1:53" ht="15.75" customHeight="1">
      <c r="A136" s="555"/>
      <c r="B136" s="555"/>
      <c r="C136" s="555"/>
      <c r="D136" s="555"/>
      <c r="E136" s="555"/>
      <c r="F136" s="555"/>
      <c r="G136" s="555"/>
      <c r="H136" s="555"/>
      <c r="I136" s="555"/>
      <c r="J136" s="555"/>
      <c r="K136" s="555"/>
      <c r="L136" s="555"/>
      <c r="M136" s="555"/>
      <c r="N136" s="555"/>
      <c r="O136" s="555"/>
      <c r="P136" s="555"/>
      <c r="Q136" s="555"/>
      <c r="R136" s="555"/>
      <c r="S136" s="555"/>
      <c r="T136" s="555"/>
      <c r="U136" s="785"/>
      <c r="V136" s="617"/>
      <c r="W136" s="617"/>
      <c r="X136" s="617"/>
      <c r="Y136" s="617"/>
      <c r="Z136" s="785"/>
      <c r="AA136" s="785"/>
      <c r="AB136" s="785"/>
      <c r="AC136" s="692"/>
      <c r="AD136" s="692"/>
      <c r="AE136" s="692"/>
      <c r="AF136" s="692"/>
      <c r="AG136" s="663"/>
      <c r="AH136" s="626"/>
      <c r="AI136" s="3539" t="s">
        <v>689</v>
      </c>
      <c r="AJ136" s="751">
        <f>(C131*0.375*C96+SUM(AI109:AI129))/C96</f>
        <v>36.583043478260876</v>
      </c>
      <c r="AK136" s="752" t="s">
        <v>192</v>
      </c>
      <c r="AL136" s="684"/>
      <c r="AM136" s="684"/>
      <c r="AN136" s="626"/>
      <c r="AO136" s="626"/>
      <c r="AP136" s="626"/>
      <c r="AQ136" s="626"/>
      <c r="AR136" s="626"/>
      <c r="AS136" s="626"/>
      <c r="AT136" s="626"/>
      <c r="AU136" s="626"/>
      <c r="AV136" s="626"/>
      <c r="AW136" s="692"/>
      <c r="AX136" s="692"/>
      <c r="AY136" s="692"/>
      <c r="AZ136" s="692"/>
      <c r="BA136" s="555"/>
    </row>
    <row r="137" spans="1:53" ht="15.75" customHeight="1">
      <c r="A137" s="555"/>
      <c r="B137" s="5200" t="s">
        <v>720</v>
      </c>
      <c r="C137" s="5201" t="s">
        <v>763</v>
      </c>
      <c r="D137" s="5202"/>
      <c r="E137" s="5202"/>
      <c r="F137" s="5203"/>
      <c r="G137" s="5204"/>
      <c r="H137" s="5205"/>
      <c r="I137" s="5206" t="s">
        <v>1682</v>
      </c>
      <c r="J137" s="5207"/>
      <c r="K137" s="5207"/>
      <c r="L137" s="5208"/>
      <c r="M137" s="453"/>
      <c r="N137" s="5063" t="s">
        <v>1753</v>
      </c>
      <c r="O137" s="5063"/>
      <c r="P137" s="453"/>
      <c r="Q137" s="453"/>
      <c r="R137" s="453"/>
      <c r="S137" s="453"/>
      <c r="T137" s="555"/>
      <c r="U137" s="785"/>
      <c r="V137" s="617"/>
      <c r="W137" s="617"/>
      <c r="X137" s="617"/>
      <c r="Y137" s="617"/>
      <c r="Z137" s="785"/>
      <c r="AA137" s="785"/>
      <c r="AB137" s="785"/>
      <c r="AC137" s="787"/>
      <c r="AD137" s="787"/>
      <c r="AE137" s="787"/>
      <c r="AF137" s="787"/>
      <c r="AG137" s="626"/>
      <c r="AH137" s="756"/>
      <c r="AI137" s="756" t="s">
        <v>690</v>
      </c>
      <c r="AJ137" s="751">
        <f>SUM(AI109:AI129)/C96</f>
        <v>35.401793478260871</v>
      </c>
      <c r="AK137" s="752" t="s">
        <v>192</v>
      </c>
      <c r="AL137" s="751"/>
      <c r="AM137" s="751"/>
      <c r="AN137" s="626"/>
      <c r="AO137" s="626"/>
      <c r="AP137" s="626"/>
      <c r="AQ137" s="626"/>
      <c r="AR137" s="626"/>
      <c r="AS137" s="626"/>
      <c r="AT137" s="626"/>
      <c r="AU137" s="626"/>
      <c r="AV137" s="626"/>
      <c r="AW137" s="692"/>
      <c r="AX137" s="692"/>
      <c r="AY137" s="692"/>
      <c r="AZ137" s="692"/>
      <c r="BA137" s="555"/>
    </row>
    <row r="138" spans="1:53" ht="15.75" customHeight="1">
      <c r="A138" s="555"/>
      <c r="B138" s="4629"/>
      <c r="C138" s="5209" t="s">
        <v>1845</v>
      </c>
      <c r="D138" s="5210"/>
      <c r="E138" s="5165" t="str">
        <f>C138</f>
        <v>WORTHINGTON "E"</v>
      </c>
      <c r="F138" s="5166"/>
      <c r="G138" s="5167" t="s">
        <v>691</v>
      </c>
      <c r="H138" s="5168"/>
      <c r="I138" s="5169" t="s">
        <v>725</v>
      </c>
      <c r="J138" s="5170"/>
      <c r="K138" s="5170"/>
      <c r="L138" s="5171"/>
      <c r="M138" s="453"/>
      <c r="N138" s="5073" t="s">
        <v>1825</v>
      </c>
      <c r="O138" s="5074"/>
      <c r="P138" s="5074"/>
      <c r="Q138" s="5074"/>
      <c r="R138" s="5074"/>
      <c r="S138" s="5075"/>
      <c r="T138" s="555"/>
      <c r="U138" s="785"/>
      <c r="V138" s="617"/>
      <c r="W138" s="617"/>
      <c r="X138" s="617"/>
      <c r="Y138" s="617"/>
      <c r="Z138" s="785"/>
      <c r="AA138" s="785"/>
      <c r="AB138" s="785"/>
      <c r="AC138" s="755">
        <f>0.01*$AC$53*(C99-C100)/(7.75-(3*(C99-1000)/800))</f>
        <v>0.20591981507425247</v>
      </c>
      <c r="AD138" s="688" t="s">
        <v>33</v>
      </c>
      <c r="AE138" s="663"/>
      <c r="AF138" s="663"/>
      <c r="AG138" s="663"/>
      <c r="AH138" s="756"/>
      <c r="AI138" s="756" t="s">
        <v>692</v>
      </c>
      <c r="AJ138" s="684">
        <f>(AJ136-(0.375*C131*C96)/C96-AJ133-AJ135)</f>
        <v>8.3475611413043538</v>
      </c>
      <c r="AK138" s="752" t="s">
        <v>216</v>
      </c>
      <c r="AL138" s="751"/>
      <c r="AM138" s="751"/>
      <c r="AN138" s="626"/>
      <c r="AO138" s="626"/>
      <c r="AP138" s="787"/>
      <c r="AQ138" s="626"/>
      <c r="AR138" s="626"/>
      <c r="AS138" s="626"/>
      <c r="AT138" s="626"/>
      <c r="AU138" s="626"/>
      <c r="AV138" s="626"/>
      <c r="AW138" s="787"/>
      <c r="AX138" s="692"/>
      <c r="AY138" s="692"/>
      <c r="AZ138" s="692"/>
      <c r="BA138" s="555"/>
    </row>
    <row r="139" spans="1:53" ht="15.75" customHeight="1">
      <c r="A139" s="555"/>
      <c r="B139" s="2890" t="s">
        <v>14</v>
      </c>
      <c r="C139" s="2301">
        <f>1000+AJ167</f>
        <v>1037.5182065217391</v>
      </c>
      <c r="D139" s="3341" t="s">
        <v>1754</v>
      </c>
      <c r="E139" s="3457">
        <f>1000+AN167</f>
        <v>1042.3997282608696</v>
      </c>
      <c r="F139" s="3461">
        <v>42</v>
      </c>
      <c r="G139" s="5096" t="s">
        <v>663</v>
      </c>
      <c r="H139" s="5097"/>
      <c r="I139" s="2196">
        <v>500</v>
      </c>
      <c r="J139" s="848"/>
      <c r="K139" s="2197">
        <v>500</v>
      </c>
      <c r="L139" s="2198"/>
      <c r="M139" s="786"/>
      <c r="N139" s="5076"/>
      <c r="O139" s="5077"/>
      <c r="P139" s="5077"/>
      <c r="Q139" s="5077"/>
      <c r="R139" s="5077"/>
      <c r="S139" s="5078"/>
      <c r="T139" s="555"/>
      <c r="U139" s="785"/>
      <c r="V139" s="617"/>
      <c r="W139" s="617"/>
      <c r="X139" s="617"/>
      <c r="Y139" s="617"/>
      <c r="Z139" s="785"/>
      <c r="AA139" s="785"/>
      <c r="AB139" s="785"/>
      <c r="AC139" s="755">
        <f>0.00000001*C100*((1000*C99)/$AC$53+(819.2*C100)-1000400)</f>
        <v>0.12990297795386654</v>
      </c>
      <c r="AD139" s="688" t="s">
        <v>33</v>
      </c>
      <c r="AE139" s="663"/>
      <c r="AF139" s="663"/>
      <c r="AG139" s="663"/>
      <c r="AH139" s="442"/>
      <c r="AI139" s="3539" t="s">
        <v>693</v>
      </c>
      <c r="AJ139" s="751">
        <f>(AJ136-AJ133-AJ134)</f>
        <v>8.2542423913043521</v>
      </c>
      <c r="AK139" s="752" t="s">
        <v>216</v>
      </c>
      <c r="AL139" s="684"/>
      <c r="AM139" s="684"/>
      <c r="AN139" s="626"/>
      <c r="AO139" s="626"/>
      <c r="AP139" s="626"/>
      <c r="AQ139" s="626"/>
      <c r="AR139" s="626"/>
      <c r="AS139" s="626"/>
      <c r="AT139" s="626"/>
      <c r="AU139" s="626"/>
      <c r="AV139" s="626"/>
      <c r="AW139" s="692"/>
      <c r="AX139" s="692"/>
      <c r="AY139" s="692"/>
      <c r="AZ139" s="692"/>
      <c r="BA139" s="555"/>
    </row>
    <row r="140" spans="1:53" ht="15.75" customHeight="1">
      <c r="A140" s="555"/>
      <c r="B140" s="2891" t="s">
        <v>312</v>
      </c>
      <c r="C140" s="2892">
        <f>1000+AJ171</f>
        <v>1006.3446160326087</v>
      </c>
      <c r="D140" s="3341" t="s">
        <v>1803</v>
      </c>
      <c r="E140" s="3458">
        <f>1000+AN171</f>
        <v>1005.6517899456521</v>
      </c>
      <c r="F140" s="3462" t="str">
        <f>D140</f>
        <v>5.5 - 6.5</v>
      </c>
      <c r="G140" s="5100" t="s">
        <v>32</v>
      </c>
      <c r="H140" s="5101"/>
      <c r="I140" s="649">
        <f>$AC$170*I139</f>
        <v>113.3513977489437</v>
      </c>
      <c r="J140" s="848"/>
      <c r="K140" s="789">
        <f>$AE$168*K139</f>
        <v>133.94270746224652</v>
      </c>
      <c r="L140" s="788"/>
      <c r="M140" s="786"/>
      <c r="N140" s="5076"/>
      <c r="O140" s="5077"/>
      <c r="P140" s="5077"/>
      <c r="Q140" s="5077"/>
      <c r="R140" s="5077"/>
      <c r="S140" s="5078"/>
      <c r="T140" s="555"/>
      <c r="U140" s="785"/>
      <c r="V140" s="617"/>
      <c r="W140" s="617"/>
      <c r="X140" s="617"/>
      <c r="Y140" s="617"/>
      <c r="Z140" s="785"/>
      <c r="AA140" s="785"/>
      <c r="AB140" s="785"/>
      <c r="AC140" s="626"/>
      <c r="AD140" s="626"/>
      <c r="AE140" s="626"/>
      <c r="AF140" s="626"/>
      <c r="AG140" s="626"/>
      <c r="AH140" s="626"/>
      <c r="AI140" s="626"/>
      <c r="AJ140" s="626"/>
      <c r="AK140" s="626"/>
      <c r="AL140" s="751"/>
      <c r="AM140" s="751"/>
      <c r="AN140" s="626"/>
      <c r="AO140" s="626"/>
      <c r="AP140" s="626"/>
      <c r="AQ140" s="626"/>
      <c r="AR140" s="626"/>
      <c r="AS140" s="626"/>
      <c r="AT140" s="626"/>
      <c r="AU140" s="626"/>
      <c r="AV140" s="626"/>
      <c r="AW140" s="692"/>
      <c r="AX140" s="692"/>
      <c r="AY140" s="692"/>
      <c r="AZ140" s="692"/>
      <c r="BA140" s="555"/>
    </row>
    <row r="141" spans="1:53" ht="15.75" customHeight="1">
      <c r="A141" s="555"/>
      <c r="B141" s="647" t="s">
        <v>313</v>
      </c>
      <c r="C141" s="2302">
        <f>(C139-C140)/(7.75-(3*(C139-1000)/800))</f>
        <v>4.0967714423292536</v>
      </c>
      <c r="D141" s="3341">
        <v>4</v>
      </c>
      <c r="E141" s="3458">
        <f>(E139-E140)/(7.75-(3*(E139-1000)/800))</f>
        <v>4.8409871403169928</v>
      </c>
      <c r="F141" s="3462">
        <v>4.8</v>
      </c>
      <c r="G141" s="5108" t="s">
        <v>315</v>
      </c>
      <c r="H141" s="5109"/>
      <c r="I141" s="649">
        <f>$AC$171*I139</f>
        <v>57.807348040720228</v>
      </c>
      <c r="J141" s="848"/>
      <c r="K141" s="789">
        <f>$AE$169*K139</f>
        <v>59.349350337405951</v>
      </c>
      <c r="L141" s="788"/>
      <c r="M141" s="786"/>
      <c r="N141" s="5076"/>
      <c r="O141" s="5077"/>
      <c r="P141" s="5077"/>
      <c r="Q141" s="5077"/>
      <c r="R141" s="5077"/>
      <c r="S141" s="5078"/>
      <c r="T141" s="555"/>
      <c r="U141" s="785"/>
      <c r="V141" s="617"/>
      <c r="W141" s="617"/>
      <c r="X141" s="617"/>
      <c r="Y141" s="617"/>
      <c r="Z141" s="785"/>
      <c r="AA141" s="785"/>
      <c r="AB141" s="785"/>
      <c r="AC141" s="663"/>
      <c r="AD141" s="755"/>
      <c r="AE141" s="688"/>
      <c r="AF141" s="663"/>
      <c r="AG141" s="663"/>
      <c r="AH141" s="663"/>
      <c r="AI141" s="358"/>
      <c r="AJ141" s="626"/>
      <c r="AK141" s="626"/>
      <c r="AL141" s="626"/>
      <c r="AM141" s="626"/>
      <c r="AN141" s="626"/>
      <c r="AO141" s="626"/>
      <c r="AP141" s="626"/>
      <c r="AQ141" s="626"/>
      <c r="AR141" s="626"/>
      <c r="AS141" s="626"/>
      <c r="AT141" s="626"/>
      <c r="AU141" s="626"/>
      <c r="AV141" s="626"/>
      <c r="AW141" s="692"/>
      <c r="AX141" s="692"/>
      <c r="AY141" s="692"/>
      <c r="AZ141" s="692"/>
      <c r="BA141" s="555"/>
    </row>
    <row r="142" spans="1:53" ht="15.75" customHeight="1">
      <c r="A142" s="555"/>
      <c r="B142" s="2893" t="s">
        <v>662</v>
      </c>
      <c r="C142" s="2894">
        <f>1000+AJ168</f>
        <v>1036.3369565217392</v>
      </c>
      <c r="D142" s="5191" t="s">
        <v>1795</v>
      </c>
      <c r="E142" s="2715">
        <f>1000+AN168</f>
        <v>1041.2184782608695</v>
      </c>
      <c r="F142" s="5193" t="s">
        <v>1795</v>
      </c>
      <c r="G142" s="5106" t="s">
        <v>37</v>
      </c>
      <c r="H142" s="5107"/>
      <c r="I142" s="653">
        <f>SUM(I140:I141)</f>
        <v>171.15874578966393</v>
      </c>
      <c r="J142" s="848"/>
      <c r="K142" s="790">
        <f>SUM(K140:K141)</f>
        <v>193.29205779965247</v>
      </c>
      <c r="L142" s="788"/>
      <c r="M142" s="786"/>
      <c r="N142" s="5076"/>
      <c r="O142" s="5077"/>
      <c r="P142" s="5077"/>
      <c r="Q142" s="5077"/>
      <c r="R142" s="5077"/>
      <c r="S142" s="5078"/>
      <c r="T142" s="555"/>
      <c r="U142" s="785"/>
      <c r="V142" s="617"/>
      <c r="W142" s="617"/>
      <c r="X142" s="617"/>
      <c r="Y142" s="617"/>
      <c r="Z142" s="785"/>
      <c r="AA142" s="785"/>
      <c r="AB142" s="785"/>
      <c r="AC142" s="663"/>
      <c r="AD142" s="663"/>
      <c r="AE142" s="663"/>
      <c r="AF142" s="663"/>
      <c r="AG142" s="663"/>
      <c r="AH142" s="663"/>
      <c r="AI142" s="626"/>
      <c r="AJ142" s="626"/>
      <c r="AK142" s="626"/>
      <c r="AL142" s="626"/>
      <c r="AM142" s="626"/>
      <c r="AN142" s="626"/>
      <c r="AO142" s="626"/>
      <c r="AP142" s="626"/>
      <c r="AQ142" s="626"/>
      <c r="AR142" s="626"/>
      <c r="AS142" s="626"/>
      <c r="AT142" s="626"/>
      <c r="AU142" s="626"/>
      <c r="AV142" s="626"/>
      <c r="AW142" s="692"/>
      <c r="AX142" s="692"/>
      <c r="AY142" s="692"/>
      <c r="AZ142" s="692"/>
      <c r="BA142" s="555"/>
    </row>
    <row r="143" spans="1:53" ht="15.75" customHeight="1">
      <c r="A143" s="555"/>
      <c r="B143" s="2893" t="s">
        <v>715</v>
      </c>
      <c r="C143" s="2894">
        <f>1000+AJ169</f>
        <v>1006.4379347826087</v>
      </c>
      <c r="D143" s="5192"/>
      <c r="E143" s="2716">
        <f>1000+AN169</f>
        <v>1005.7451086956522</v>
      </c>
      <c r="F143" s="5194"/>
      <c r="G143" s="5108" t="s">
        <v>665</v>
      </c>
      <c r="H143" s="5109"/>
      <c r="I143" s="655">
        <f>I141/3.85</f>
        <v>15.014895594992266</v>
      </c>
      <c r="J143" s="848"/>
      <c r="K143" s="791">
        <f>K141/3.85</f>
        <v>15.415415672053493</v>
      </c>
      <c r="L143" s="788"/>
      <c r="M143" s="786"/>
      <c r="N143" s="5076"/>
      <c r="O143" s="5077"/>
      <c r="P143" s="5077"/>
      <c r="Q143" s="5077"/>
      <c r="R143" s="5077"/>
      <c r="S143" s="5078"/>
      <c r="T143" s="555"/>
      <c r="U143" s="785"/>
      <c r="V143" s="617"/>
      <c r="W143" s="617"/>
      <c r="X143" s="617"/>
      <c r="Y143" s="617"/>
      <c r="Z143" s="785"/>
      <c r="AA143" s="785"/>
      <c r="AB143" s="785"/>
      <c r="AC143" s="663"/>
      <c r="AD143" s="663"/>
      <c r="AE143" s="663"/>
      <c r="AF143" s="663"/>
      <c r="AG143" s="663"/>
      <c r="AH143" s="663"/>
      <c r="AI143" s="626"/>
      <c r="AJ143" s="626"/>
      <c r="AK143" s="626"/>
      <c r="AL143" s="626"/>
      <c r="AM143" s="626"/>
      <c r="AN143" s="626"/>
      <c r="AO143" s="626"/>
      <c r="AP143" s="626"/>
      <c r="AQ143" s="626"/>
      <c r="AR143" s="626"/>
      <c r="AS143" s="626"/>
      <c r="AT143" s="626"/>
      <c r="AU143" s="626"/>
      <c r="AV143" s="626"/>
      <c r="AW143" s="692"/>
      <c r="AX143" s="692"/>
      <c r="AY143" s="692"/>
      <c r="AZ143" s="692"/>
      <c r="BA143" s="555"/>
    </row>
    <row r="144" spans="1:53" ht="15.75" customHeight="1">
      <c r="A144" s="555"/>
      <c r="B144" s="2895" t="s">
        <v>112</v>
      </c>
      <c r="C144" s="2896" t="str">
        <f>FIXED((AC168+70*I169)/C148,1)&amp;" EBU"</f>
        <v>45.9 EBU</v>
      </c>
      <c r="D144" s="3335">
        <v>46</v>
      </c>
      <c r="E144" s="3459" t="str">
        <f>FIXED((AD168+70*K169)/E148,1)&amp;" EBU"</f>
        <v>45.9 EBU</v>
      </c>
      <c r="F144" s="3463">
        <f>D144</f>
        <v>46</v>
      </c>
      <c r="G144" s="5108" t="s">
        <v>47</v>
      </c>
      <c r="H144" s="5109"/>
      <c r="I144" s="658">
        <f>I145*I139/1000</f>
        <v>2.0483857211646268</v>
      </c>
      <c r="J144" s="848"/>
      <c r="K144" s="793">
        <f>K145*K139/1000</f>
        <v>2.4204935701584964</v>
      </c>
      <c r="L144" s="788"/>
      <c r="M144" s="786"/>
      <c r="N144" s="5076"/>
      <c r="O144" s="5077"/>
      <c r="P144" s="5077"/>
      <c r="Q144" s="5077"/>
      <c r="R144" s="5077"/>
      <c r="S144" s="5078"/>
      <c r="T144" s="555"/>
      <c r="U144" s="785"/>
      <c r="V144" s="617"/>
      <c r="W144" s="617"/>
      <c r="X144" s="617"/>
      <c r="Y144" s="617"/>
      <c r="Z144" s="785"/>
      <c r="AA144" s="785"/>
      <c r="AB144" s="785"/>
      <c r="AC144" s="663"/>
      <c r="AD144" s="663"/>
      <c r="AE144" s="663"/>
      <c r="AF144" s="663"/>
      <c r="AG144" s="663"/>
      <c r="AH144" s="663"/>
      <c r="AI144" s="626"/>
      <c r="AJ144" s="626"/>
      <c r="AK144" s="626"/>
      <c r="AL144" s="626"/>
      <c r="AM144" s="626"/>
      <c r="AN144" s="626"/>
      <c r="AO144" s="626"/>
      <c r="AP144" s="626"/>
      <c r="AQ144" s="626"/>
      <c r="AR144" s="626"/>
      <c r="AS144" s="626"/>
      <c r="AT144" s="626"/>
      <c r="AU144" s="626"/>
      <c r="AV144" s="626"/>
      <c r="AW144" s="692"/>
      <c r="AX144" s="692"/>
      <c r="AY144" s="692"/>
      <c r="AZ144" s="692"/>
      <c r="BA144" s="555"/>
    </row>
    <row r="145" spans="1:53" ht="15.75" customHeight="1">
      <c r="A145" s="555"/>
      <c r="B145" s="2897" t="s">
        <v>43</v>
      </c>
      <c r="C145" s="2720" t="str">
        <f>FIXED(SUM(AK148:AK159)/C148,1)&amp;" EBC"</f>
        <v>23.1 EBC</v>
      </c>
      <c r="D145" s="3341">
        <v>23</v>
      </c>
      <c r="E145" s="3460" t="str">
        <f>FIXED(SUM(AO148:AO159)/E148,1)&amp;" EBC"</f>
        <v>22.5 EBC</v>
      </c>
      <c r="F145" s="3786">
        <f>D145</f>
        <v>23</v>
      </c>
      <c r="G145" s="5195" t="s">
        <v>661</v>
      </c>
      <c r="H145" s="5196"/>
      <c r="I145" s="762">
        <f>C141</f>
        <v>4.0967714423292536</v>
      </c>
      <c r="J145" s="849"/>
      <c r="K145" s="794">
        <f>E141</f>
        <v>4.8409871403169928</v>
      </c>
      <c r="L145" s="795"/>
      <c r="M145" s="786"/>
      <c r="N145" s="5076"/>
      <c r="O145" s="5077"/>
      <c r="P145" s="5077"/>
      <c r="Q145" s="5077"/>
      <c r="R145" s="5077"/>
      <c r="S145" s="5078"/>
      <c r="T145" s="555"/>
      <c r="U145" s="785"/>
      <c r="V145" s="617"/>
      <c r="W145" s="617"/>
      <c r="X145" s="617"/>
      <c r="Y145" s="617"/>
      <c r="Z145" s="785"/>
      <c r="AA145" s="785"/>
      <c r="AB145" s="785"/>
      <c r="AC145" s="663"/>
      <c r="AD145" s="663"/>
      <c r="AE145" s="663"/>
      <c r="AF145" s="663"/>
      <c r="AG145" s="663"/>
      <c r="AH145" s="796" t="s">
        <v>668</v>
      </c>
      <c r="AI145" s="626"/>
      <c r="AJ145" s="626"/>
      <c r="AK145" s="626"/>
      <c r="AL145" s="797" t="s">
        <v>669</v>
      </c>
      <c r="AM145" s="874"/>
      <c r="AN145" s="874"/>
      <c r="AO145" s="874"/>
      <c r="AP145" s="626"/>
      <c r="AQ145" s="626"/>
      <c r="AR145" s="626"/>
      <c r="AS145" s="626"/>
      <c r="AT145" s="626"/>
      <c r="AU145" s="626"/>
      <c r="AV145" s="626"/>
      <c r="AW145" s="692"/>
      <c r="AX145" s="692"/>
      <c r="AY145" s="692"/>
      <c r="AZ145" s="692"/>
      <c r="BA145" s="555"/>
    </row>
    <row r="146" spans="1:53" ht="15.75" customHeight="1">
      <c r="A146" s="555"/>
      <c r="B146" s="2898"/>
      <c r="C146" s="2899" t="str">
        <f>"≈ "&amp;FIXED(0.508*SUM(AK148:AK159)/C148,1)&amp;" SRM"</f>
        <v>≈ 11.7 SRM</v>
      </c>
      <c r="D146" s="2900" t="str">
        <f>"≈ "&amp;FIXED((0.508*D145),1)&amp;" SRM"</f>
        <v>≈ 11.7 SRM</v>
      </c>
      <c r="E146" s="2899" t="str">
        <f>"≈ "&amp;FIXED(0.508*SUM(AO148:AO159)/E148,1)&amp;" SRM"</f>
        <v>≈ 11.4 SRM</v>
      </c>
      <c r="F146" s="3787" t="str">
        <f>"≈ "&amp;FIXED((0.508*F145),1)&amp;" SRM"</f>
        <v>≈ 11.7 SRM</v>
      </c>
      <c r="G146" s="713" t="s">
        <v>84</v>
      </c>
      <c r="H146" s="2432" t="s">
        <v>696</v>
      </c>
      <c r="I146" s="2258" t="s">
        <v>697</v>
      </c>
      <c r="J146" s="2314" t="s">
        <v>698</v>
      </c>
      <c r="K146" s="2315" t="s">
        <v>697</v>
      </c>
      <c r="L146" s="2283" t="s">
        <v>698</v>
      </c>
      <c r="M146" s="786"/>
      <c r="N146" s="5076"/>
      <c r="O146" s="5077"/>
      <c r="P146" s="5077"/>
      <c r="Q146" s="5077"/>
      <c r="R146" s="5077"/>
      <c r="S146" s="5078"/>
      <c r="T146" s="555"/>
      <c r="U146" s="785"/>
      <c r="V146" s="617"/>
      <c r="W146" s="617"/>
      <c r="X146" s="617"/>
      <c r="Y146" s="617"/>
      <c r="Z146" s="785"/>
      <c r="AA146" s="785"/>
      <c r="AB146" s="785"/>
      <c r="AC146" s="874" t="s">
        <v>668</v>
      </c>
      <c r="AD146" s="874" t="s">
        <v>669</v>
      </c>
      <c r="AE146" s="874" t="s">
        <v>333</v>
      </c>
      <c r="AF146" s="874" t="s">
        <v>335</v>
      </c>
      <c r="AG146" s="874"/>
      <c r="AH146" s="796" t="s">
        <v>334</v>
      </c>
      <c r="AI146" s="642" t="s">
        <v>44</v>
      </c>
      <c r="AJ146" s="874" t="s">
        <v>336</v>
      </c>
      <c r="AK146" s="874" t="s">
        <v>335</v>
      </c>
      <c r="AL146" s="671"/>
      <c r="AM146" s="642" t="s">
        <v>44</v>
      </c>
      <c r="AN146" s="874" t="s">
        <v>336</v>
      </c>
      <c r="AO146" s="874" t="s">
        <v>335</v>
      </c>
      <c r="AP146" s="626"/>
      <c r="AQ146" s="626"/>
      <c r="AR146" s="626"/>
      <c r="AS146" s="626"/>
      <c r="AT146" s="626"/>
      <c r="AU146" s="626"/>
      <c r="AV146" s="626"/>
      <c r="AW146" s="692"/>
      <c r="AX146" s="692"/>
      <c r="AY146" s="692"/>
      <c r="AZ146" s="692"/>
      <c r="BA146" s="555"/>
    </row>
    <row r="147" spans="1:53" ht="15.75" customHeight="1">
      <c r="A147" s="738"/>
      <c r="B147" s="5177" t="s">
        <v>722</v>
      </c>
      <c r="C147" s="2303" t="s">
        <v>723</v>
      </c>
      <c r="D147" s="2304" t="s">
        <v>695</v>
      </c>
      <c r="E147" s="2305" t="s">
        <v>723</v>
      </c>
      <c r="F147" s="3464" t="s">
        <v>695</v>
      </c>
      <c r="G147" s="798" t="s">
        <v>724</v>
      </c>
      <c r="H147" s="2433" t="s">
        <v>101</v>
      </c>
      <c r="I147" s="2316" t="s">
        <v>672</v>
      </c>
      <c r="J147" s="2317" t="s">
        <v>672</v>
      </c>
      <c r="K147" s="2318" t="s">
        <v>673</v>
      </c>
      <c r="L147" s="2329" t="s">
        <v>673</v>
      </c>
      <c r="M147" s="786"/>
      <c r="N147" s="5076"/>
      <c r="O147" s="5077"/>
      <c r="P147" s="5077"/>
      <c r="Q147" s="5077"/>
      <c r="R147" s="5077"/>
      <c r="S147" s="5078"/>
      <c r="T147" s="555"/>
      <c r="U147" s="785"/>
      <c r="V147" s="617"/>
      <c r="W147" s="617"/>
      <c r="X147" s="617"/>
      <c r="Y147" s="617"/>
      <c r="Z147" s="785"/>
      <c r="AA147" s="785"/>
      <c r="AB147" s="785"/>
      <c r="AC147" s="874" t="s">
        <v>116</v>
      </c>
      <c r="AD147" s="874" t="s">
        <v>116</v>
      </c>
      <c r="AE147" s="626"/>
      <c r="AF147" s="626"/>
      <c r="AG147" s="626"/>
      <c r="AH147" s="799"/>
      <c r="AI147" s="626"/>
      <c r="AJ147" s="626"/>
      <c r="AK147" s="626"/>
      <c r="AL147" s="799"/>
      <c r="AM147" s="626"/>
      <c r="AN147" s="626"/>
      <c r="AO147" s="626"/>
      <c r="AP147" s="626"/>
      <c r="AQ147" s="626"/>
      <c r="AR147" s="626"/>
      <c r="AS147" s="626"/>
      <c r="AT147" s="626"/>
      <c r="AU147" s="626"/>
      <c r="AV147" s="626"/>
      <c r="AW147" s="692"/>
      <c r="AX147" s="692"/>
      <c r="AY147" s="692"/>
      <c r="AZ147" s="692"/>
      <c r="BA147" s="555"/>
    </row>
    <row r="148" spans="1:53" ht="15.75" customHeight="1">
      <c r="A148" s="738"/>
      <c r="B148" s="5178"/>
      <c r="C148" s="2901">
        <v>23</v>
      </c>
      <c r="D148" s="2306">
        <f>C148*D151*'Beer Data Sheet'!Z$49/'Beer Data Sheet'!Z$48/C150</f>
        <v>15.044802867383511</v>
      </c>
      <c r="E148" s="2307">
        <v>23</v>
      </c>
      <c r="F148" s="3465">
        <f>E148*F151*'Beer Data Sheet'!Z$49/'Beer Data Sheet'!Z$48/E150</f>
        <v>13.54032258064516</v>
      </c>
      <c r="G148" s="2694" t="str">
        <f>'Beer Data Sheet'!Y9</f>
        <v>Bramling Cross</v>
      </c>
      <c r="H148" s="2695">
        <f>'Beer Data Sheet'!Z9</f>
        <v>5.0999999999999996</v>
      </c>
      <c r="I148" s="3383"/>
      <c r="J148" s="2319">
        <f>I148*D$148/C$148</f>
        <v>0</v>
      </c>
      <c r="K148" s="2320"/>
      <c r="L148" s="2285">
        <f>K148*F$148/E$148</f>
        <v>0</v>
      </c>
      <c r="M148" s="786"/>
      <c r="N148" s="5076"/>
      <c r="O148" s="5077"/>
      <c r="P148" s="5077"/>
      <c r="Q148" s="5077"/>
      <c r="R148" s="5077"/>
      <c r="S148" s="5078"/>
      <c r="T148" s="555"/>
      <c r="U148" s="785"/>
      <c r="V148" s="617"/>
      <c r="W148" s="617"/>
      <c r="X148" s="617"/>
      <c r="Y148" s="617"/>
      <c r="Z148" s="785"/>
      <c r="AA148" s="785"/>
      <c r="AB148" s="785"/>
      <c r="AC148" s="663">
        <f>2*H148*I148</f>
        <v>0</v>
      </c>
      <c r="AD148" s="663">
        <f t="shared" ref="AD148" si="67">2*H148*K148</f>
        <v>0</v>
      </c>
      <c r="AE148" s="2657">
        <f>'Beer Data Sheet'!Z48</f>
        <v>310</v>
      </c>
      <c r="AF148" s="664">
        <f>'Beer Data Sheet'!AD48</f>
        <v>10</v>
      </c>
      <c r="AG148" s="664"/>
      <c r="AH148" s="25">
        <f t="shared" ref="AH148:AH155" si="68">C$166/100</f>
        <v>0.75</v>
      </c>
      <c r="AI148" s="664">
        <f>0.001*AE148*C150</f>
        <v>558</v>
      </c>
      <c r="AJ148" s="684">
        <f t="shared" ref="AJ148:AJ160" si="69">AI148*AH148</f>
        <v>418.5</v>
      </c>
      <c r="AK148" s="663">
        <f>0.01*AF148*C150</f>
        <v>180</v>
      </c>
      <c r="AL148" s="25">
        <f t="shared" ref="AL148:AL155" si="70">E$166/100</f>
        <v>0.75</v>
      </c>
      <c r="AM148" s="664">
        <f>0.001*AE148*E150</f>
        <v>620</v>
      </c>
      <c r="AN148" s="684">
        <f t="shared" ref="AN148" si="71">AL148*AM148</f>
        <v>465</v>
      </c>
      <c r="AO148" s="684">
        <f>0.01*E150*AF148</f>
        <v>200</v>
      </c>
      <c r="AP148" s="626"/>
      <c r="AQ148" s="626"/>
      <c r="AR148" s="626"/>
      <c r="AS148" s="626"/>
      <c r="AT148" s="626"/>
      <c r="AU148" s="626"/>
      <c r="AV148" s="626"/>
      <c r="AW148" s="692"/>
      <c r="AX148" s="879"/>
      <c r="AY148" s="692"/>
      <c r="AZ148" s="692"/>
      <c r="BA148" s="800"/>
    </row>
    <row r="149" spans="1:53" ht="15.75" customHeight="1">
      <c r="A149" s="738"/>
      <c r="B149" s="2902" t="s">
        <v>330</v>
      </c>
      <c r="C149" s="2903" t="s">
        <v>672</v>
      </c>
      <c r="D149" s="2904" t="s">
        <v>1679</v>
      </c>
      <c r="E149" s="2905" t="s">
        <v>673</v>
      </c>
      <c r="F149" s="3466" t="s">
        <v>1680</v>
      </c>
      <c r="G149" s="2694" t="str">
        <f>'Beer Data Sheet'!Y10</f>
        <v>Bullion</v>
      </c>
      <c r="H149" s="2695">
        <f>'Beer Data Sheet'!Z10</f>
        <v>10</v>
      </c>
      <c r="I149" s="2321"/>
      <c r="J149" s="2322">
        <f>I149*D$148/C$148</f>
        <v>0</v>
      </c>
      <c r="K149" s="2616"/>
      <c r="L149" s="2330">
        <f>K149*F$148/E$148</f>
        <v>0</v>
      </c>
      <c r="M149" s="786"/>
      <c r="N149" s="5076"/>
      <c r="O149" s="5077"/>
      <c r="P149" s="5077"/>
      <c r="Q149" s="5077"/>
      <c r="R149" s="5077"/>
      <c r="S149" s="5078"/>
      <c r="T149" s="555"/>
      <c r="U149" s="785"/>
      <c r="V149" s="617"/>
      <c r="W149" s="617"/>
      <c r="X149" s="617"/>
      <c r="Y149" s="617"/>
      <c r="Z149" s="785"/>
      <c r="AA149" s="785"/>
      <c r="AB149" s="785"/>
      <c r="AC149" s="663">
        <f t="shared" ref="AC149:AC167" si="72">2*H149*I149</f>
        <v>0</v>
      </c>
      <c r="AD149" s="663">
        <f t="shared" ref="AD149:AD167" si="73">2*H149*K149</f>
        <v>0</v>
      </c>
      <c r="AE149" s="2657">
        <f>'Beer Data Sheet'!Z49</f>
        <v>365</v>
      </c>
      <c r="AF149" s="664">
        <f>'Beer Data Sheet'!AD49</f>
        <v>11</v>
      </c>
      <c r="AG149" s="664"/>
      <c r="AH149" s="25">
        <f t="shared" si="68"/>
        <v>0.75</v>
      </c>
      <c r="AI149" s="664">
        <f t="shared" ref="AI149:AI160" si="74">0.001*AE149*C151</f>
        <v>0</v>
      </c>
      <c r="AJ149" s="684">
        <f t="shared" si="69"/>
        <v>0</v>
      </c>
      <c r="AK149" s="663">
        <f t="shared" ref="AK149:AK159" si="75">0.01*AF149*C151</f>
        <v>0</v>
      </c>
      <c r="AL149" s="25">
        <f t="shared" si="70"/>
        <v>0.75</v>
      </c>
      <c r="AM149" s="664">
        <f t="shared" ref="AM149:AM160" si="76">0.001*AE149*E151</f>
        <v>0</v>
      </c>
      <c r="AN149" s="684">
        <f t="shared" ref="AN149:AN160" si="77">AL149*AM149</f>
        <v>0</v>
      </c>
      <c r="AO149" s="684">
        <f t="shared" ref="AO149:AO160" si="78">0.01*E151*AF149</f>
        <v>0</v>
      </c>
      <c r="AP149" s="626"/>
      <c r="AQ149" s="626"/>
      <c r="AR149" s="626"/>
      <c r="AS149" s="626"/>
      <c r="AT149" s="626"/>
      <c r="AU149" s="626"/>
      <c r="AV149" s="626"/>
      <c r="AW149" s="692"/>
      <c r="AX149" s="880"/>
      <c r="AY149" s="692"/>
      <c r="AZ149" s="692"/>
      <c r="BA149" s="555"/>
    </row>
    <row r="150" spans="1:53" ht="15.75" customHeight="1">
      <c r="A150" s="5179" t="s">
        <v>338</v>
      </c>
      <c r="B150" s="2906" t="str">
        <f>'Beer Data Sheet'!Y48</f>
        <v>Extract (LIQUID - light)</v>
      </c>
      <c r="C150" s="2907">
        <v>1800</v>
      </c>
      <c r="D150" s="2908" t="str">
        <f>"OR "&amp;FIXED((D151*0.001*'Beer Data Sheet'!Z$49/'Beer Data Sheet'!Z$48),3)*1000&amp;" liquid"</f>
        <v>OR 1177 liquid</v>
      </c>
      <c r="E150" s="2909">
        <v>2000</v>
      </c>
      <c r="F150" s="3467" t="str">
        <f>"OR "&amp;FIXED((F151*0.001*'Beer Data Sheet'!Z$49/'Beer Data Sheet'!Z$48),3)*1000&amp;" liquid"</f>
        <v>OR 1177 liquid</v>
      </c>
      <c r="G150" s="2694" t="str">
        <f>'Beer Data Sheet'!Y11</f>
        <v>Challenger</v>
      </c>
      <c r="H150" s="2695">
        <f>'Beer Data Sheet'!Z11</f>
        <v>7.5</v>
      </c>
      <c r="I150" s="2321"/>
      <c r="J150" s="2322">
        <f>I150*D$148/C$148</f>
        <v>0</v>
      </c>
      <c r="K150" s="2323"/>
      <c r="L150" s="2330">
        <f>K150*F$148/E$148</f>
        <v>0</v>
      </c>
      <c r="M150" s="1809"/>
      <c r="N150" s="5076"/>
      <c r="O150" s="5077"/>
      <c r="P150" s="5077"/>
      <c r="Q150" s="5077"/>
      <c r="R150" s="5077"/>
      <c r="S150" s="5078"/>
      <c r="T150" s="555"/>
      <c r="U150" s="785"/>
      <c r="V150" s="617"/>
      <c r="W150" s="617"/>
      <c r="X150" s="617"/>
      <c r="Y150" s="617"/>
      <c r="Z150" s="785"/>
      <c r="AA150" s="785"/>
      <c r="AB150" s="785"/>
      <c r="AC150" s="663">
        <f t="shared" si="72"/>
        <v>0</v>
      </c>
      <c r="AD150" s="663">
        <f t="shared" si="73"/>
        <v>0</v>
      </c>
      <c r="AE150" s="664">
        <f>'Beer Data Sheet'!Z51</f>
        <v>265</v>
      </c>
      <c r="AF150" s="664">
        <f>'Beer Data Sheet'!AD51</f>
        <v>908.8</v>
      </c>
      <c r="AG150" s="664"/>
      <c r="AH150" s="25">
        <f t="shared" si="68"/>
        <v>0.75</v>
      </c>
      <c r="AI150" s="664">
        <f t="shared" si="74"/>
        <v>0</v>
      </c>
      <c r="AJ150" s="684">
        <f t="shared" si="69"/>
        <v>0</v>
      </c>
      <c r="AK150" s="663">
        <f t="shared" si="75"/>
        <v>0</v>
      </c>
      <c r="AL150" s="25">
        <f t="shared" si="70"/>
        <v>0.75</v>
      </c>
      <c r="AM150" s="664">
        <f t="shared" si="76"/>
        <v>9.2750000000000004</v>
      </c>
      <c r="AN150" s="684">
        <f t="shared" si="77"/>
        <v>6.9562500000000007</v>
      </c>
      <c r="AO150" s="684">
        <f t="shared" si="78"/>
        <v>318.08000000000004</v>
      </c>
      <c r="AP150" s="626"/>
      <c r="AQ150" s="626"/>
      <c r="AR150" s="626"/>
      <c r="AS150" s="626"/>
      <c r="AT150" s="626"/>
      <c r="AU150" s="626"/>
      <c r="AV150" s="626"/>
      <c r="AW150" s="692"/>
      <c r="AX150" s="880"/>
      <c r="AY150" s="692"/>
      <c r="AZ150" s="692"/>
      <c r="BA150" s="555"/>
    </row>
    <row r="151" spans="1:53" ht="15.75" customHeight="1">
      <c r="A151" s="5180"/>
      <c r="B151" s="2906" t="str">
        <f>'Beer Data Sheet'!Y49</f>
        <v>Extract (DRY - light)</v>
      </c>
      <c r="C151" s="2910"/>
      <c r="D151" s="2308">
        <v>1000</v>
      </c>
      <c r="E151" s="2309"/>
      <c r="F151" s="2310">
        <v>1000</v>
      </c>
      <c r="G151" s="2694" t="str">
        <f>'Beer Data Sheet'!Y12</f>
        <v>EKG</v>
      </c>
      <c r="H151" s="2695">
        <f>'Beer Data Sheet'!Z12</f>
        <v>5.5</v>
      </c>
      <c r="I151" s="2321"/>
      <c r="J151" s="2322">
        <f>I151*D$148/C$148</f>
        <v>0</v>
      </c>
      <c r="K151" s="2323"/>
      <c r="L151" s="2330">
        <f>K151*F$148/E$148</f>
        <v>0</v>
      </c>
      <c r="M151" s="786"/>
      <c r="N151" s="5076"/>
      <c r="O151" s="5077"/>
      <c r="P151" s="5077"/>
      <c r="Q151" s="5077"/>
      <c r="R151" s="5077"/>
      <c r="S151" s="5078"/>
      <c r="T151" s="555"/>
      <c r="U151" s="785"/>
      <c r="V151" s="617"/>
      <c r="W151" s="617"/>
      <c r="X151" s="617"/>
      <c r="Y151" s="617"/>
      <c r="Z151" s="785"/>
      <c r="AA151" s="785"/>
      <c r="AB151" s="785"/>
      <c r="AC151" s="663">
        <f t="shared" si="72"/>
        <v>0</v>
      </c>
      <c r="AD151" s="663">
        <f t="shared" si="73"/>
        <v>0</v>
      </c>
      <c r="AE151" s="664">
        <f>'Beer Data Sheet'!Z52</f>
        <v>265</v>
      </c>
      <c r="AF151" s="664">
        <f>'Beer Data Sheet'!AD52</f>
        <v>763.2</v>
      </c>
      <c r="AG151" s="664"/>
      <c r="AH151" s="25">
        <f t="shared" si="68"/>
        <v>0.75</v>
      </c>
      <c r="AI151" s="664">
        <f t="shared" si="74"/>
        <v>0</v>
      </c>
      <c r="AJ151" s="684">
        <f t="shared" si="69"/>
        <v>0</v>
      </c>
      <c r="AK151" s="663">
        <f t="shared" si="75"/>
        <v>0</v>
      </c>
      <c r="AL151" s="25">
        <f t="shared" si="70"/>
        <v>0.75</v>
      </c>
      <c r="AM151" s="664">
        <f t="shared" si="76"/>
        <v>0</v>
      </c>
      <c r="AN151" s="684">
        <f t="shared" si="77"/>
        <v>0</v>
      </c>
      <c r="AO151" s="684">
        <f t="shared" si="78"/>
        <v>0</v>
      </c>
      <c r="AP151" s="626"/>
      <c r="AQ151" s="626"/>
      <c r="AR151" s="626"/>
      <c r="AS151" s="626"/>
      <c r="AT151" s="626"/>
      <c r="AU151" s="626"/>
      <c r="AV151" s="626"/>
      <c r="AW151" s="692"/>
      <c r="AX151" s="880"/>
      <c r="AY151" s="692"/>
      <c r="AZ151" s="692"/>
      <c r="BA151" s="555"/>
    </row>
    <row r="152" spans="1:53" ht="15.75" customHeight="1">
      <c r="A152" s="5181" t="s">
        <v>719</v>
      </c>
      <c r="B152" s="2911" t="str">
        <f>'Beer Data Sheet'!Y51</f>
        <v>Black</v>
      </c>
      <c r="C152" s="3581"/>
      <c r="D152" s="2311">
        <f>C152*D$148/C$148</f>
        <v>0</v>
      </c>
      <c r="E152" s="3583">
        <v>35</v>
      </c>
      <c r="F152" s="2576">
        <f t="shared" ref="F152:F163" si="79">E152*F$148/E$148</f>
        <v>20.604838709677416</v>
      </c>
      <c r="G152" s="2694" t="str">
        <f>'Beer Data Sheet'!Y13</f>
        <v>First Gold</v>
      </c>
      <c r="H152" s="2695">
        <f>'Beer Data Sheet'!Z13</f>
        <v>7.9</v>
      </c>
      <c r="I152" s="2321"/>
      <c r="J152" s="2322">
        <f t="shared" ref="J152:J165" si="80">I152*D$148/C$148</f>
        <v>0</v>
      </c>
      <c r="K152" s="2323"/>
      <c r="L152" s="2330">
        <f t="shared" ref="L152:L167" si="81">K152*F$148/E$148</f>
        <v>0</v>
      </c>
      <c r="M152" s="1809"/>
      <c r="N152" s="5076"/>
      <c r="O152" s="5077"/>
      <c r="P152" s="5077"/>
      <c r="Q152" s="5077"/>
      <c r="R152" s="5077"/>
      <c r="S152" s="5078"/>
      <c r="T152" s="555"/>
      <c r="U152" s="785"/>
      <c r="V152" s="617"/>
      <c r="W152" s="617"/>
      <c r="X152" s="617"/>
      <c r="Y152" s="617"/>
      <c r="Z152" s="785"/>
      <c r="AA152" s="785"/>
      <c r="AB152" s="785"/>
      <c r="AC152" s="663">
        <f t="shared" si="72"/>
        <v>0</v>
      </c>
      <c r="AD152" s="663">
        <f t="shared" si="73"/>
        <v>0</v>
      </c>
      <c r="AE152" s="664">
        <f>'Beer Data Sheet'!Z53</f>
        <v>265</v>
      </c>
      <c r="AF152" s="664">
        <f>'Beer Data Sheet'!AD53</f>
        <v>77.7</v>
      </c>
      <c r="AG152" s="664"/>
      <c r="AH152" s="25">
        <f t="shared" si="68"/>
        <v>0.75</v>
      </c>
      <c r="AI152" s="664">
        <f t="shared" si="74"/>
        <v>92.75</v>
      </c>
      <c r="AJ152" s="684">
        <f t="shared" si="69"/>
        <v>69.5625</v>
      </c>
      <c r="AK152" s="663">
        <f t="shared" si="75"/>
        <v>271.95</v>
      </c>
      <c r="AL152" s="25">
        <f t="shared" si="70"/>
        <v>0.75</v>
      </c>
      <c r="AM152" s="664">
        <f t="shared" si="76"/>
        <v>0</v>
      </c>
      <c r="AN152" s="684">
        <f t="shared" si="77"/>
        <v>0</v>
      </c>
      <c r="AO152" s="684">
        <f t="shared" si="78"/>
        <v>0</v>
      </c>
      <c r="AP152" s="626"/>
      <c r="AQ152" s="626"/>
      <c r="AR152" s="626"/>
      <c r="AS152" s="626"/>
      <c r="AT152" s="626"/>
      <c r="AU152" s="626"/>
      <c r="AV152" s="626"/>
      <c r="AW152" s="692"/>
      <c r="AX152" s="880"/>
      <c r="AY152" s="692"/>
      <c r="AZ152" s="692"/>
      <c r="BA152" s="555"/>
    </row>
    <row r="153" spans="1:53" ht="15.75" customHeight="1">
      <c r="A153" s="5181"/>
      <c r="B153" s="2911" t="str">
        <f>'Beer Data Sheet'!Y52</f>
        <v>Chocolate</v>
      </c>
      <c r="C153" s="3581"/>
      <c r="D153" s="2311">
        <f>C153*D$148/C$148</f>
        <v>0</v>
      </c>
      <c r="E153" s="3583"/>
      <c r="F153" s="2576">
        <f t="shared" si="79"/>
        <v>0</v>
      </c>
      <c r="G153" s="2694" t="str">
        <f>'Beer Data Sheet'!Y14</f>
        <v>Fuggles</v>
      </c>
      <c r="H153" s="2695">
        <f>'Beer Data Sheet'!Z14</f>
        <v>4.5</v>
      </c>
      <c r="I153" s="2321">
        <v>55</v>
      </c>
      <c r="J153" s="2322">
        <f t="shared" si="80"/>
        <v>35.976702508960571</v>
      </c>
      <c r="K153" s="2323">
        <v>55</v>
      </c>
      <c r="L153" s="2330">
        <f t="shared" si="81"/>
        <v>32.379032258064512</v>
      </c>
      <c r="M153" s="1809"/>
      <c r="N153" s="5076"/>
      <c r="O153" s="5077"/>
      <c r="P153" s="5077"/>
      <c r="Q153" s="5077"/>
      <c r="R153" s="5077"/>
      <c r="S153" s="5078"/>
      <c r="T153" s="555"/>
      <c r="U153" s="785"/>
      <c r="V153" s="617"/>
      <c r="W153" s="617"/>
      <c r="X153" s="617"/>
      <c r="Y153" s="617"/>
      <c r="Z153" s="785"/>
      <c r="AA153" s="785"/>
      <c r="AB153" s="785"/>
      <c r="AC153" s="663">
        <f t="shared" si="72"/>
        <v>495</v>
      </c>
      <c r="AD153" s="663">
        <f t="shared" si="73"/>
        <v>495</v>
      </c>
      <c r="AE153" s="664">
        <f>'Beer Data Sheet'!Z54</f>
        <v>265</v>
      </c>
      <c r="AF153" s="664">
        <f>'Beer Data Sheet'!AD54</f>
        <v>103.6</v>
      </c>
      <c r="AG153" s="664"/>
      <c r="AH153" s="25">
        <f t="shared" si="68"/>
        <v>0.75</v>
      </c>
      <c r="AI153" s="664">
        <f t="shared" si="74"/>
        <v>0</v>
      </c>
      <c r="AJ153" s="684">
        <f t="shared" si="69"/>
        <v>0</v>
      </c>
      <c r="AK153" s="663">
        <f t="shared" si="75"/>
        <v>0</v>
      </c>
      <c r="AL153" s="25">
        <f t="shared" si="70"/>
        <v>0.75</v>
      </c>
      <c r="AM153" s="664">
        <f t="shared" si="76"/>
        <v>0</v>
      </c>
      <c r="AN153" s="684">
        <f t="shared" si="77"/>
        <v>0</v>
      </c>
      <c r="AO153" s="684">
        <f t="shared" si="78"/>
        <v>0</v>
      </c>
      <c r="AP153" s="626"/>
      <c r="AQ153" s="626"/>
      <c r="AR153" s="626"/>
      <c r="AS153" s="626"/>
      <c r="AT153" s="626"/>
      <c r="AU153" s="626"/>
      <c r="AV153" s="626"/>
      <c r="AW153" s="692"/>
      <c r="AX153" s="880"/>
      <c r="AY153" s="692"/>
      <c r="AZ153" s="692"/>
      <c r="BA153" s="555"/>
    </row>
    <row r="154" spans="1:53" ht="15.75" customHeight="1">
      <c r="A154" s="5181"/>
      <c r="B154" s="2911" t="str">
        <f>'Beer Data Sheet'!Y53</f>
        <v>Crystal (light)</v>
      </c>
      <c r="C154" s="3581">
        <v>350</v>
      </c>
      <c r="D154" s="2311">
        <f>C154*D$148/C$148</f>
        <v>228.94265232974908</v>
      </c>
      <c r="E154" s="3583"/>
      <c r="F154" s="2576">
        <f t="shared" si="79"/>
        <v>0</v>
      </c>
      <c r="G154" s="2694" t="str">
        <f>'Beer Data Sheet'!Y15</f>
        <v>Goldings (Worc.)</v>
      </c>
      <c r="H154" s="2695">
        <f>'Beer Data Sheet'!Z15</f>
        <v>5</v>
      </c>
      <c r="I154" s="2321"/>
      <c r="J154" s="2322">
        <f t="shared" si="80"/>
        <v>0</v>
      </c>
      <c r="K154" s="2323"/>
      <c r="L154" s="2330">
        <f t="shared" si="81"/>
        <v>0</v>
      </c>
      <c r="M154" s="1809"/>
      <c r="N154" s="5076"/>
      <c r="O154" s="5077"/>
      <c r="P154" s="5077"/>
      <c r="Q154" s="5077"/>
      <c r="R154" s="5077"/>
      <c r="S154" s="5078"/>
      <c r="T154" s="555"/>
      <c r="U154" s="785"/>
      <c r="V154" s="617"/>
      <c r="W154" s="617"/>
      <c r="X154" s="617"/>
      <c r="Y154" s="617"/>
      <c r="Z154" s="785"/>
      <c r="AA154" s="785"/>
      <c r="AB154" s="785"/>
      <c r="AC154" s="663">
        <f t="shared" si="72"/>
        <v>0</v>
      </c>
      <c r="AD154" s="663">
        <f t="shared" si="73"/>
        <v>0</v>
      </c>
      <c r="AE154" s="664">
        <f>'Beer Data Sheet'!Z55</f>
        <v>266</v>
      </c>
      <c r="AF154" s="664">
        <f>'Beer Data Sheet'!AD55</f>
        <v>148</v>
      </c>
      <c r="AG154" s="664"/>
      <c r="AH154" s="25">
        <f t="shared" si="68"/>
        <v>0.75</v>
      </c>
      <c r="AI154" s="664">
        <f t="shared" si="74"/>
        <v>0</v>
      </c>
      <c r="AJ154" s="684">
        <f t="shared" si="69"/>
        <v>0</v>
      </c>
      <c r="AK154" s="663">
        <f t="shared" si="75"/>
        <v>0</v>
      </c>
      <c r="AL154" s="25">
        <f t="shared" si="70"/>
        <v>0.75</v>
      </c>
      <c r="AM154" s="664">
        <f t="shared" si="76"/>
        <v>0</v>
      </c>
      <c r="AN154" s="684">
        <f t="shared" si="77"/>
        <v>0</v>
      </c>
      <c r="AO154" s="684">
        <f t="shared" si="78"/>
        <v>0</v>
      </c>
      <c r="AP154" s="626"/>
      <c r="AQ154" s="626"/>
      <c r="AR154" s="626"/>
      <c r="AS154" s="626"/>
      <c r="AT154" s="626"/>
      <c r="AU154" s="626"/>
      <c r="AV154" s="626"/>
      <c r="AW154" s="692"/>
      <c r="AX154" s="880"/>
      <c r="AY154" s="692"/>
      <c r="AZ154" s="692"/>
      <c r="BA154" s="555"/>
    </row>
    <row r="155" spans="1:53" ht="15.75" customHeight="1">
      <c r="A155" s="5181"/>
      <c r="B155" s="2911" t="str">
        <f>'Beer Data Sheet'!Y54</f>
        <v>Crystal (medium)</v>
      </c>
      <c r="C155" s="3581"/>
      <c r="D155" s="2311">
        <f t="shared" ref="D155:D163" si="82">C155*D$148/C$148</f>
        <v>0</v>
      </c>
      <c r="E155" s="3583"/>
      <c r="F155" s="2576">
        <f t="shared" si="79"/>
        <v>0</v>
      </c>
      <c r="G155" s="2694" t="str">
        <f>'Beer Data Sheet'!Y16</f>
        <v>Hallertauer ("German")</v>
      </c>
      <c r="H155" s="2695">
        <f>'Beer Data Sheet'!Z16</f>
        <v>2</v>
      </c>
      <c r="I155" s="2321"/>
      <c r="J155" s="2322">
        <f t="shared" si="80"/>
        <v>0</v>
      </c>
      <c r="K155" s="2323"/>
      <c r="L155" s="2330">
        <f t="shared" si="81"/>
        <v>0</v>
      </c>
      <c r="M155" s="1809"/>
      <c r="N155" s="5076"/>
      <c r="O155" s="5077"/>
      <c r="P155" s="5077"/>
      <c r="Q155" s="5077"/>
      <c r="R155" s="5077"/>
      <c r="S155" s="5078"/>
      <c r="T155" s="555"/>
      <c r="U155" s="785"/>
      <c r="V155" s="617"/>
      <c r="W155" s="617"/>
      <c r="X155" s="617"/>
      <c r="Y155" s="617"/>
      <c r="Z155" s="785"/>
      <c r="AA155" s="785"/>
      <c r="AB155" s="785"/>
      <c r="AC155" s="663">
        <f t="shared" si="72"/>
        <v>0</v>
      </c>
      <c r="AD155" s="663">
        <f t="shared" si="73"/>
        <v>0</v>
      </c>
      <c r="AE155" s="664">
        <f>'Beer Data Sheet'!Z56</f>
        <v>265</v>
      </c>
      <c r="AF155" s="664">
        <f>'Beer Data Sheet'!AD56</f>
        <v>902.8</v>
      </c>
      <c r="AG155" s="664"/>
      <c r="AH155" s="25">
        <f t="shared" si="68"/>
        <v>0.75</v>
      </c>
      <c r="AI155" s="664">
        <f t="shared" si="74"/>
        <v>0</v>
      </c>
      <c r="AJ155" s="684">
        <f t="shared" si="69"/>
        <v>0</v>
      </c>
      <c r="AK155" s="663">
        <f t="shared" si="75"/>
        <v>0</v>
      </c>
      <c r="AL155" s="25">
        <f t="shared" si="70"/>
        <v>0.75</v>
      </c>
      <c r="AM155" s="664">
        <f t="shared" si="76"/>
        <v>0</v>
      </c>
      <c r="AN155" s="684">
        <f t="shared" si="77"/>
        <v>0</v>
      </c>
      <c r="AO155" s="684">
        <f t="shared" si="78"/>
        <v>0</v>
      </c>
      <c r="AP155" s="626"/>
      <c r="AQ155" s="626"/>
      <c r="AR155" s="626"/>
      <c r="AS155" s="626"/>
      <c r="AT155" s="626"/>
      <c r="AU155" s="626"/>
      <c r="AV155" s="626"/>
      <c r="AW155" s="692"/>
      <c r="AX155" s="880"/>
      <c r="AY155" s="692"/>
      <c r="AZ155" s="692"/>
      <c r="BA155" s="555"/>
    </row>
    <row r="156" spans="1:53" ht="15.75" customHeight="1">
      <c r="A156" s="5181"/>
      <c r="B156" s="2911" t="str">
        <f>'Beer Data Sheet'!Y55</f>
        <v>Crystal (dark)</v>
      </c>
      <c r="C156" s="3581"/>
      <c r="D156" s="2311">
        <f t="shared" si="82"/>
        <v>0</v>
      </c>
      <c r="E156" s="3583"/>
      <c r="F156" s="2576">
        <f t="shared" si="79"/>
        <v>0</v>
      </c>
      <c r="G156" s="2694" t="str">
        <f>'Beer Data Sheet'!Y17</f>
        <v>Hallertauer ("Pacific")</v>
      </c>
      <c r="H156" s="2695">
        <f>'Beer Data Sheet'!Z17</f>
        <v>6.7</v>
      </c>
      <c r="I156" s="2321"/>
      <c r="J156" s="2322">
        <f t="shared" si="80"/>
        <v>0</v>
      </c>
      <c r="K156" s="2323"/>
      <c r="L156" s="2330">
        <f t="shared" si="81"/>
        <v>0</v>
      </c>
      <c r="M156" s="1809"/>
      <c r="N156" s="5076"/>
      <c r="O156" s="5077"/>
      <c r="P156" s="5077"/>
      <c r="Q156" s="5077"/>
      <c r="R156" s="5077"/>
      <c r="S156" s="5078"/>
      <c r="T156" s="555"/>
      <c r="U156" s="785"/>
      <c r="V156" s="617"/>
      <c r="W156" s="617"/>
      <c r="X156" s="617"/>
      <c r="Y156" s="617"/>
      <c r="Z156" s="785"/>
      <c r="AA156" s="785"/>
      <c r="AB156" s="785"/>
      <c r="AC156" s="663">
        <f t="shared" si="72"/>
        <v>0</v>
      </c>
      <c r="AD156" s="663">
        <f t="shared" si="73"/>
        <v>0</v>
      </c>
      <c r="AE156" s="664">
        <f>'Beer Data Sheet'!Z57</f>
        <v>375</v>
      </c>
      <c r="AF156" s="664">
        <f>'Beer Data Sheet'!AD57</f>
        <v>0</v>
      </c>
      <c r="AG156" s="664"/>
      <c r="AH156" s="25">
        <f>'Beer Data Sheet'!AA57</f>
        <v>1</v>
      </c>
      <c r="AI156" s="664">
        <f t="shared" si="74"/>
        <v>0</v>
      </c>
      <c r="AJ156" s="684">
        <f t="shared" si="69"/>
        <v>0</v>
      </c>
      <c r="AK156" s="663">
        <f t="shared" si="75"/>
        <v>0</v>
      </c>
      <c r="AL156" s="25">
        <f>'Beer Data Sheet'!AA57</f>
        <v>1</v>
      </c>
      <c r="AM156" s="664">
        <f t="shared" si="76"/>
        <v>318.75</v>
      </c>
      <c r="AN156" s="684">
        <f t="shared" si="77"/>
        <v>318.75</v>
      </c>
      <c r="AO156" s="684">
        <f t="shared" si="78"/>
        <v>0</v>
      </c>
      <c r="AP156" s="626"/>
      <c r="AQ156" s="626"/>
      <c r="AR156" s="626"/>
      <c r="AS156" s="626"/>
      <c r="AT156" s="626"/>
      <c r="AU156" s="626"/>
      <c r="AV156" s="626"/>
      <c r="AW156" s="692"/>
      <c r="AX156" s="880"/>
      <c r="AY156" s="692"/>
      <c r="AZ156" s="692"/>
      <c r="BA156" s="555"/>
    </row>
    <row r="157" spans="1:53" ht="15.75" customHeight="1">
      <c r="A157" s="5181"/>
      <c r="B157" s="2911" t="str">
        <f>'Beer Data Sheet'!Y56</f>
        <v>Roast barley</v>
      </c>
      <c r="C157" s="3581"/>
      <c r="D157" s="2311">
        <f t="shared" si="82"/>
        <v>0</v>
      </c>
      <c r="E157" s="3583"/>
      <c r="F157" s="2576">
        <f t="shared" si="79"/>
        <v>0</v>
      </c>
      <c r="G157" s="2694" t="str">
        <f>'Beer Data Sheet'!Y18</f>
        <v>Liberty</v>
      </c>
      <c r="H157" s="2695">
        <f>'Beer Data Sheet'!Z18</f>
        <v>4</v>
      </c>
      <c r="I157" s="2321"/>
      <c r="J157" s="2322">
        <f t="shared" si="80"/>
        <v>0</v>
      </c>
      <c r="K157" s="2323"/>
      <c r="L157" s="2330">
        <f t="shared" si="81"/>
        <v>0</v>
      </c>
      <c r="M157" s="1809"/>
      <c r="N157" s="5076"/>
      <c r="O157" s="5077"/>
      <c r="P157" s="5077"/>
      <c r="Q157" s="5077"/>
      <c r="R157" s="5077"/>
      <c r="S157" s="5078"/>
      <c r="T157" s="555"/>
      <c r="U157" s="785"/>
      <c r="V157" s="617"/>
      <c r="W157" s="617"/>
      <c r="X157" s="617"/>
      <c r="Y157" s="617"/>
      <c r="Z157" s="785"/>
      <c r="AA157" s="785"/>
      <c r="AB157" s="785"/>
      <c r="AC157" s="663">
        <f t="shared" si="72"/>
        <v>0</v>
      </c>
      <c r="AD157" s="663">
        <f t="shared" si="73"/>
        <v>0</v>
      </c>
      <c r="AE157" s="664">
        <f>'Beer Data Sheet'!Z58</f>
        <v>370</v>
      </c>
      <c r="AF157" s="664">
        <f>'Beer Data Sheet'!AD58</f>
        <v>16</v>
      </c>
      <c r="AG157" s="664"/>
      <c r="AH157" s="25">
        <f>'Beer Data Sheet'!AA58</f>
        <v>1</v>
      </c>
      <c r="AI157" s="664">
        <f t="shared" si="74"/>
        <v>185</v>
      </c>
      <c r="AJ157" s="684">
        <f t="shared" si="69"/>
        <v>185</v>
      </c>
      <c r="AK157" s="663">
        <f t="shared" si="75"/>
        <v>80</v>
      </c>
      <c r="AL157" s="25">
        <f>'Beer Data Sheet'!AA58</f>
        <v>1</v>
      </c>
      <c r="AM157" s="664">
        <f t="shared" si="76"/>
        <v>0</v>
      </c>
      <c r="AN157" s="684">
        <f t="shared" si="77"/>
        <v>0</v>
      </c>
      <c r="AO157" s="684">
        <f t="shared" si="78"/>
        <v>0</v>
      </c>
      <c r="AP157" s="626"/>
      <c r="AQ157" s="626"/>
      <c r="AR157" s="626"/>
      <c r="AS157" s="626"/>
      <c r="AT157" s="626"/>
      <c r="AU157" s="626"/>
      <c r="AV157" s="626"/>
      <c r="AW157" s="692"/>
      <c r="AX157" s="881"/>
      <c r="AY157" s="692"/>
      <c r="AZ157" s="692"/>
      <c r="BA157" s="555"/>
    </row>
    <row r="158" spans="1:53" ht="15.75" customHeight="1">
      <c r="A158" s="5182" t="s">
        <v>143</v>
      </c>
      <c r="B158" s="2912" t="str">
        <f>'Beer Data Sheet'!Y57</f>
        <v>Cane ̸ beet sugar (sucrose)</v>
      </c>
      <c r="C158" s="3581"/>
      <c r="D158" s="2312">
        <f t="shared" si="82"/>
        <v>0</v>
      </c>
      <c r="E158" s="3583">
        <v>850</v>
      </c>
      <c r="F158" s="2577">
        <f t="shared" si="79"/>
        <v>500.40322580645159</v>
      </c>
      <c r="G158" s="2694" t="str">
        <f>'Beer Data Sheet'!Y19</f>
        <v>Lublin</v>
      </c>
      <c r="H158" s="2695">
        <f>'Beer Data Sheet'!Z19</f>
        <v>3</v>
      </c>
      <c r="I158" s="2321"/>
      <c r="J158" s="2322">
        <f t="shared" si="80"/>
        <v>0</v>
      </c>
      <c r="K158" s="2323"/>
      <c r="L158" s="2330">
        <f t="shared" si="81"/>
        <v>0</v>
      </c>
      <c r="M158" s="1809"/>
      <c r="N158" s="5076"/>
      <c r="O158" s="5077"/>
      <c r="P158" s="5077"/>
      <c r="Q158" s="5077"/>
      <c r="R158" s="5077"/>
      <c r="S158" s="5078"/>
      <c r="T158" s="555"/>
      <c r="U158" s="785"/>
      <c r="V158" s="617"/>
      <c r="W158" s="617"/>
      <c r="X158" s="617"/>
      <c r="Y158" s="617"/>
      <c r="Z158" s="785"/>
      <c r="AA158" s="785"/>
      <c r="AB158" s="785"/>
      <c r="AC158" s="663">
        <f t="shared" si="72"/>
        <v>0</v>
      </c>
      <c r="AD158" s="663">
        <f t="shared" si="73"/>
        <v>0</v>
      </c>
      <c r="AE158" s="664">
        <f>'Beer Data Sheet'!Z59</f>
        <v>370</v>
      </c>
      <c r="AF158" s="664">
        <f>'Beer Data Sheet'!AD59</f>
        <v>45</v>
      </c>
      <c r="AG158" s="664"/>
      <c r="AH158" s="25">
        <f>'Beer Data Sheet'!AA59</f>
        <v>1</v>
      </c>
      <c r="AI158" s="664">
        <f t="shared" si="74"/>
        <v>0</v>
      </c>
      <c r="AJ158" s="684">
        <f t="shared" si="69"/>
        <v>0</v>
      </c>
      <c r="AK158" s="663">
        <f t="shared" si="75"/>
        <v>0</v>
      </c>
      <c r="AL158" s="25">
        <f>'Beer Data Sheet'!AA59</f>
        <v>1</v>
      </c>
      <c r="AM158" s="664">
        <f t="shared" si="76"/>
        <v>0</v>
      </c>
      <c r="AN158" s="684">
        <f t="shared" si="77"/>
        <v>0</v>
      </c>
      <c r="AO158" s="684">
        <f t="shared" si="78"/>
        <v>0</v>
      </c>
      <c r="AP158" s="626"/>
      <c r="AQ158" s="626"/>
      <c r="AR158" s="626"/>
      <c r="AS158" s="626"/>
      <c r="AT158" s="626"/>
      <c r="AU158" s="626"/>
      <c r="AV158" s="626"/>
      <c r="AW158" s="692"/>
      <c r="AX158" s="881"/>
      <c r="AY158" s="692"/>
      <c r="AZ158" s="692"/>
      <c r="BA158" s="555"/>
    </row>
    <row r="159" spans="1:53" ht="15.75" customHeight="1">
      <c r="A159" s="5182"/>
      <c r="B159" s="2912" t="str">
        <f>'Beer Data Sheet'!Y58</f>
        <v>Brown sugar (light)</v>
      </c>
      <c r="C159" s="3581">
        <v>500</v>
      </c>
      <c r="D159" s="2312">
        <f t="shared" si="82"/>
        <v>327.06093189964156</v>
      </c>
      <c r="E159" s="3583"/>
      <c r="F159" s="2577">
        <f t="shared" si="79"/>
        <v>0</v>
      </c>
      <c r="G159" s="2694" t="str">
        <f>'Beer Data Sheet'!Y20</f>
        <v>Magnum</v>
      </c>
      <c r="H159" s="2695">
        <f>'Beer Data Sheet'!Z20</f>
        <v>13</v>
      </c>
      <c r="I159" s="2321"/>
      <c r="J159" s="2322">
        <f t="shared" si="80"/>
        <v>0</v>
      </c>
      <c r="K159" s="2323"/>
      <c r="L159" s="2330">
        <f t="shared" si="81"/>
        <v>0</v>
      </c>
      <c r="M159" s="1809"/>
      <c r="N159" s="5076"/>
      <c r="O159" s="5077"/>
      <c r="P159" s="5077"/>
      <c r="Q159" s="5077"/>
      <c r="R159" s="5077"/>
      <c r="S159" s="5078"/>
      <c r="T159" s="555"/>
      <c r="U159" s="785"/>
      <c r="V159" s="617"/>
      <c r="W159" s="617"/>
      <c r="X159" s="617"/>
      <c r="Y159" s="617"/>
      <c r="Z159" s="785"/>
      <c r="AA159" s="785"/>
      <c r="AB159" s="785"/>
      <c r="AC159" s="663">
        <f t="shared" si="72"/>
        <v>0</v>
      </c>
      <c r="AD159" s="663">
        <f t="shared" si="73"/>
        <v>0</v>
      </c>
      <c r="AE159" s="664">
        <f>'Beer Data Sheet'!Z60</f>
        <v>360</v>
      </c>
      <c r="AF159" s="664">
        <f>'Beer Data Sheet'!AD60</f>
        <v>0</v>
      </c>
      <c r="AG159" s="664"/>
      <c r="AH159" s="25">
        <f>'Beer Data Sheet'!AA60</f>
        <v>0.95</v>
      </c>
      <c r="AI159" s="664">
        <f t="shared" si="74"/>
        <v>0</v>
      </c>
      <c r="AJ159" s="684">
        <f t="shared" si="69"/>
        <v>0</v>
      </c>
      <c r="AK159" s="663">
        <f t="shared" si="75"/>
        <v>0</v>
      </c>
      <c r="AL159" s="25">
        <f>'Beer Data Sheet'!AA60</f>
        <v>0.95</v>
      </c>
      <c r="AM159" s="664">
        <f t="shared" si="76"/>
        <v>0</v>
      </c>
      <c r="AN159" s="684">
        <f t="shared" si="77"/>
        <v>0</v>
      </c>
      <c r="AO159" s="684">
        <f t="shared" si="78"/>
        <v>0</v>
      </c>
      <c r="AP159" s="626"/>
      <c r="AQ159" s="626"/>
      <c r="AR159" s="626"/>
      <c r="AS159" s="626"/>
      <c r="AT159" s="626"/>
      <c r="AU159" s="626"/>
      <c r="AV159" s="626"/>
      <c r="AW159" s="626"/>
      <c r="AX159" s="881"/>
      <c r="AY159" s="692"/>
      <c r="AZ159" s="692"/>
      <c r="BA159" s="555"/>
    </row>
    <row r="160" spans="1:53" ht="15.75" customHeight="1">
      <c r="A160" s="5182"/>
      <c r="B160" s="2912" t="str">
        <f>'Beer Data Sheet'!Y59</f>
        <v>Brown sugar (medium)</v>
      </c>
      <c r="C160" s="3581"/>
      <c r="D160" s="2312">
        <f t="shared" si="82"/>
        <v>0</v>
      </c>
      <c r="E160" s="3583"/>
      <c r="F160" s="2577">
        <f t="shared" si="79"/>
        <v>0</v>
      </c>
      <c r="G160" s="2694" t="str">
        <f>'Beer Data Sheet'!Y21</f>
        <v>Northdown</v>
      </c>
      <c r="H160" s="2695">
        <f>'Beer Data Sheet'!Z21</f>
        <v>8</v>
      </c>
      <c r="I160" s="2321"/>
      <c r="J160" s="2322">
        <f t="shared" si="80"/>
        <v>0</v>
      </c>
      <c r="K160" s="2323"/>
      <c r="L160" s="2330">
        <f t="shared" si="81"/>
        <v>0</v>
      </c>
      <c r="M160" s="1809"/>
      <c r="N160" s="5076"/>
      <c r="O160" s="5077"/>
      <c r="P160" s="5077"/>
      <c r="Q160" s="5077"/>
      <c r="R160" s="5077"/>
      <c r="S160" s="5078"/>
      <c r="T160" s="555"/>
      <c r="U160" s="785"/>
      <c r="V160" s="617"/>
      <c r="W160" s="617"/>
      <c r="X160" s="617"/>
      <c r="Y160" s="617"/>
      <c r="Z160" s="785"/>
      <c r="AA160" s="785"/>
      <c r="AB160" s="785"/>
      <c r="AC160" s="663">
        <f t="shared" si="72"/>
        <v>0</v>
      </c>
      <c r="AD160" s="663">
        <f t="shared" si="73"/>
        <v>0</v>
      </c>
      <c r="AE160" s="664">
        <f>'Beer Data Sheet'!Z61</f>
        <v>380</v>
      </c>
      <c r="AF160" s="664">
        <f>'Beer Data Sheet'!AD61</f>
        <v>30</v>
      </c>
      <c r="AG160" s="664"/>
      <c r="AH160" s="25">
        <f>'Beer Data Sheet'!AA61</f>
        <v>0</v>
      </c>
      <c r="AI160" s="664">
        <f t="shared" si="74"/>
        <v>0</v>
      </c>
      <c r="AJ160" s="684">
        <f t="shared" si="69"/>
        <v>0</v>
      </c>
      <c r="AK160" s="663">
        <f>0.01*AF160*C162</f>
        <v>0</v>
      </c>
      <c r="AL160" s="25">
        <f>'Beer Data Sheet'!AA61</f>
        <v>0</v>
      </c>
      <c r="AM160" s="664">
        <f t="shared" si="76"/>
        <v>0</v>
      </c>
      <c r="AN160" s="684">
        <f t="shared" si="77"/>
        <v>0</v>
      </c>
      <c r="AO160" s="684">
        <f t="shared" si="78"/>
        <v>0</v>
      </c>
      <c r="AP160" s="626"/>
      <c r="AQ160" s="626"/>
      <c r="AR160" s="626"/>
      <c r="AS160" s="626"/>
      <c r="AT160" s="626"/>
      <c r="AU160" s="626"/>
      <c r="AV160" s="626"/>
      <c r="AW160" s="626"/>
      <c r="AX160" s="881"/>
      <c r="AY160" s="692"/>
      <c r="AZ160" s="692"/>
      <c r="BA160" s="555"/>
    </row>
    <row r="161" spans="1:53" ht="15.75" customHeight="1">
      <c r="A161" s="5183"/>
      <c r="B161" s="2912" t="str">
        <f>'Beer Data Sheet'!Y60</f>
        <v>Brewing sugar</v>
      </c>
      <c r="C161" s="3581"/>
      <c r="D161" s="2312">
        <f t="shared" si="82"/>
        <v>0</v>
      </c>
      <c r="E161" s="3583"/>
      <c r="F161" s="2577">
        <f t="shared" si="79"/>
        <v>0</v>
      </c>
      <c r="G161" s="2694" t="str">
        <f>'Beer Data Sheet'!Y22</f>
        <v>Progress</v>
      </c>
      <c r="H161" s="2695">
        <f>'Beer Data Sheet'!Z22</f>
        <v>5</v>
      </c>
      <c r="I161" s="2321"/>
      <c r="J161" s="2322">
        <f t="shared" si="80"/>
        <v>0</v>
      </c>
      <c r="K161" s="2323"/>
      <c r="L161" s="2330">
        <f t="shared" si="81"/>
        <v>0</v>
      </c>
      <c r="M161" s="1809"/>
      <c r="N161" s="5076"/>
      <c r="O161" s="5077"/>
      <c r="P161" s="5077"/>
      <c r="Q161" s="5077"/>
      <c r="R161" s="5077"/>
      <c r="S161" s="5078"/>
      <c r="T161" s="555"/>
      <c r="U161" s="785"/>
      <c r="V161" s="617"/>
      <c r="W161" s="617"/>
      <c r="X161" s="617"/>
      <c r="Y161" s="617"/>
      <c r="Z161" s="785"/>
      <c r="AA161" s="785"/>
      <c r="AB161" s="785"/>
      <c r="AC161" s="663">
        <f t="shared" si="72"/>
        <v>0</v>
      </c>
      <c r="AD161" s="663">
        <f t="shared" si="73"/>
        <v>0</v>
      </c>
      <c r="AE161" s="626"/>
      <c r="AF161" s="626"/>
      <c r="AG161" s="626"/>
      <c r="AH161" s="626"/>
      <c r="AI161" s="626"/>
      <c r="AJ161" s="626"/>
      <c r="AK161" s="626"/>
      <c r="AL161" s="626"/>
      <c r="AM161" s="626"/>
      <c r="AN161" s="626"/>
      <c r="AO161" s="626"/>
      <c r="AP161" s="626"/>
      <c r="AQ161" s="626"/>
      <c r="AR161" s="626"/>
      <c r="AS161" s="626"/>
      <c r="AT161" s="626"/>
      <c r="AU161" s="626"/>
      <c r="AV161" s="626"/>
      <c r="AW161" s="626"/>
      <c r="AX161" s="881"/>
      <c r="AY161" s="692"/>
      <c r="AZ161" s="692"/>
      <c r="BA161" s="555"/>
    </row>
    <row r="162" spans="1:53" ht="15.75" customHeight="1">
      <c r="A162" s="5184"/>
      <c r="B162" s="3575" t="str">
        <f>'Beer Data Sheet'!Y61</f>
        <v>Lactose (non-fermentable sugar, no boil)</v>
      </c>
      <c r="C162" s="3582"/>
      <c r="D162" s="2312">
        <f t="shared" si="82"/>
        <v>0</v>
      </c>
      <c r="E162" s="3583"/>
      <c r="F162" s="2578">
        <f t="shared" si="79"/>
        <v>0</v>
      </c>
      <c r="G162" s="2694" t="str">
        <f>'Beer Data Sheet'!Y23</f>
        <v>Saaz</v>
      </c>
      <c r="H162" s="2695">
        <f>'Beer Data Sheet'!Z23</f>
        <v>2.2000000000000002</v>
      </c>
      <c r="I162" s="2321"/>
      <c r="J162" s="2322">
        <f t="shared" si="80"/>
        <v>0</v>
      </c>
      <c r="K162" s="2323"/>
      <c r="L162" s="2330">
        <f t="shared" si="81"/>
        <v>0</v>
      </c>
      <c r="M162" s="1809"/>
      <c r="N162" s="5076"/>
      <c r="O162" s="5077"/>
      <c r="P162" s="5077"/>
      <c r="Q162" s="5077"/>
      <c r="R162" s="5077"/>
      <c r="S162" s="5078"/>
      <c r="T162" s="555"/>
      <c r="U162" s="785"/>
      <c r="V162" s="617"/>
      <c r="W162" s="617"/>
      <c r="X162" s="617"/>
      <c r="Y162" s="617"/>
      <c r="Z162" s="785"/>
      <c r="AA162" s="785"/>
      <c r="AB162" s="785"/>
      <c r="AC162" s="663">
        <f t="shared" si="72"/>
        <v>0</v>
      </c>
      <c r="AD162" s="663">
        <f t="shared" si="73"/>
        <v>0</v>
      </c>
      <c r="AE162" s="683"/>
      <c r="AF162" s="626"/>
      <c r="AG162" s="626"/>
      <c r="AH162" s="683"/>
      <c r="AI162" s="664"/>
      <c r="AJ162" s="684">
        <f>0.001*375*C164*C148</f>
        <v>27.168749999999999</v>
      </c>
      <c r="AK162" s="626"/>
      <c r="AL162" s="683"/>
      <c r="AM162" s="664"/>
      <c r="AN162" s="684">
        <f>0.001*375*E164*E148</f>
        <v>27.168749999999999</v>
      </c>
      <c r="AO162" s="626"/>
      <c r="AP162" s="626"/>
      <c r="AQ162" s="626"/>
      <c r="AR162" s="626"/>
      <c r="AS162" s="626"/>
      <c r="AT162" s="626"/>
      <c r="AU162" s="626"/>
      <c r="AV162" s="626"/>
      <c r="AW162" s="626"/>
      <c r="AX162" s="881"/>
      <c r="AY162" s="692"/>
      <c r="AZ162" s="692"/>
      <c r="BA162" s="555"/>
    </row>
    <row r="163" spans="1:53" ht="15.75" customHeight="1">
      <c r="A163" s="738"/>
      <c r="B163" s="1808" t="s">
        <v>677</v>
      </c>
      <c r="C163" s="2723">
        <f>C148*C164+($AE$156*C158*AH156+$AE$157*C159*AH157+$AE$158*C160*AH158+$AE$159*C161*AH159)/375</f>
        <v>565.7833333333333</v>
      </c>
      <c r="D163" s="2724">
        <f t="shared" si="82"/>
        <v>370.09124850657105</v>
      </c>
      <c r="E163" s="2725">
        <f>E148*E164+($AE$156*E158*AL156+$AE$157*E159*AL157+$AE$158*E160*AL158+$AE$159*E161*AL159)/375</f>
        <v>922.45</v>
      </c>
      <c r="F163" s="2726">
        <f t="shared" si="79"/>
        <v>543.05524193548376</v>
      </c>
      <c r="G163" s="2694" t="str">
        <f>'Beer Data Sheet'!Y24</f>
        <v>Styrian Goldings</v>
      </c>
      <c r="H163" s="2695">
        <f>'Beer Data Sheet'!Z24</f>
        <v>5.5</v>
      </c>
      <c r="I163" s="2321"/>
      <c r="J163" s="2322">
        <f t="shared" si="80"/>
        <v>0</v>
      </c>
      <c r="K163" s="2323"/>
      <c r="L163" s="2330">
        <f t="shared" si="81"/>
        <v>0</v>
      </c>
      <c r="M163" s="1809"/>
      <c r="N163" s="5076"/>
      <c r="O163" s="5077"/>
      <c r="P163" s="5077"/>
      <c r="Q163" s="5077"/>
      <c r="R163" s="5077"/>
      <c r="S163" s="5078"/>
      <c r="T163" s="555"/>
      <c r="U163" s="785"/>
      <c r="V163" s="617"/>
      <c r="W163" s="617"/>
      <c r="X163" s="617"/>
      <c r="Y163" s="617"/>
      <c r="Z163" s="785"/>
      <c r="AA163" s="785"/>
      <c r="AB163" s="785"/>
      <c r="AC163" s="663">
        <f t="shared" si="72"/>
        <v>0</v>
      </c>
      <c r="AD163" s="663">
        <f t="shared" si="73"/>
        <v>0</v>
      </c>
      <c r="AE163" s="626"/>
      <c r="AF163" s="663"/>
      <c r="AG163" s="663"/>
      <c r="AH163" s="663"/>
      <c r="AI163" s="687" t="s">
        <v>683</v>
      </c>
      <c r="AJ163" s="684">
        <f>SUM(AJ148:AJ155)/(C148)</f>
        <v>21.220108695652176</v>
      </c>
      <c r="AK163" s="626"/>
      <c r="AL163" s="626"/>
      <c r="AM163" s="687" t="s">
        <v>683</v>
      </c>
      <c r="AN163" s="684">
        <f>SUM(AN148:AN155)/(E148)</f>
        <v>20.51983695652174</v>
      </c>
      <c r="AO163" s="626"/>
      <c r="AP163" s="626"/>
      <c r="AQ163" s="626"/>
      <c r="AR163" s="626"/>
      <c r="AS163" s="626"/>
      <c r="AT163" s="626"/>
      <c r="AU163" s="626"/>
      <c r="AV163" s="626"/>
      <c r="AW163" s="626"/>
      <c r="AX163" s="881"/>
      <c r="AY163" s="692"/>
      <c r="AZ163" s="692"/>
      <c r="BA163" s="555"/>
    </row>
    <row r="164" spans="1:53" ht="15.75" customHeight="1">
      <c r="A164" s="801"/>
      <c r="B164" s="3182" t="str">
        <f>"Priming sugar (sucrose) g/litre, 1 level tsp  = "&amp;'Beer Data Sheet'!O$20&amp;"g)"</f>
        <v>Priming sugar (sucrose) g/litre, 1 level tsp  = 3.15g)</v>
      </c>
      <c r="C164" s="2461">
        <v>3.15</v>
      </c>
      <c r="D164" s="2459" t="str">
        <f>"g = "&amp;FIXED(C164/'Beer Data Sheet'!$O$20)&amp;" tsp."</f>
        <v>g = 1.00 tsp.</v>
      </c>
      <c r="E164" s="3384">
        <f>C164</f>
        <v>3.15</v>
      </c>
      <c r="F164" s="2729" t="str">
        <f>"g = "&amp;FIXED(E164/'Beer Data Sheet'!$O$20)&amp;" tsp. "</f>
        <v xml:space="preserve">g = 1.00 tsp. </v>
      </c>
      <c r="G164" s="2694" t="str">
        <f>'Beer Data Sheet'!Y25</f>
        <v>Target</v>
      </c>
      <c r="H164" s="2695">
        <f>'Beer Data Sheet'!Z25</f>
        <v>11.2</v>
      </c>
      <c r="I164" s="2321"/>
      <c r="J164" s="2322">
        <f t="shared" si="80"/>
        <v>0</v>
      </c>
      <c r="K164" s="2323"/>
      <c r="L164" s="2330">
        <f t="shared" si="81"/>
        <v>0</v>
      </c>
      <c r="M164" s="1809"/>
      <c r="N164" s="5076"/>
      <c r="O164" s="5077"/>
      <c r="P164" s="5077"/>
      <c r="Q164" s="5077"/>
      <c r="R164" s="5077"/>
      <c r="S164" s="5078"/>
      <c r="T164" s="555"/>
      <c r="U164" s="785"/>
      <c r="V164" s="617"/>
      <c r="W164" s="617"/>
      <c r="X164" s="617"/>
      <c r="Y164" s="617"/>
      <c r="Z164" s="785"/>
      <c r="AA164" s="785"/>
      <c r="AB164" s="785"/>
      <c r="AC164" s="663">
        <f t="shared" si="72"/>
        <v>0</v>
      </c>
      <c r="AD164" s="663">
        <f t="shared" si="73"/>
        <v>0</v>
      </c>
      <c r="AE164" s="663"/>
      <c r="AF164" s="626"/>
      <c r="AG164" s="626"/>
      <c r="AH164" s="626"/>
      <c r="AI164" s="687" t="s">
        <v>685</v>
      </c>
      <c r="AJ164" s="441">
        <f>(1.079*(SUM(AJ156:AJ162)/C148))</f>
        <v>9.9534817934782609</v>
      </c>
      <c r="AK164" s="626"/>
      <c r="AL164" s="626"/>
      <c r="AM164" s="687" t="s">
        <v>685</v>
      </c>
      <c r="AN164" s="441">
        <f>(1.079*(SUM(AN156:AN162)/E148))</f>
        <v>16.22810135869565</v>
      </c>
      <c r="AO164" s="626"/>
      <c r="AP164" s="626"/>
      <c r="AQ164" s="626"/>
      <c r="AR164" s="626"/>
      <c r="AS164" s="626"/>
      <c r="AT164" s="626"/>
      <c r="AU164" s="626"/>
      <c r="AV164" s="626"/>
      <c r="AW164" s="626"/>
      <c r="AX164" s="881"/>
      <c r="AY164" s="692"/>
      <c r="AZ164" s="692"/>
      <c r="BA164" s="555"/>
    </row>
    <row r="165" spans="1:53" ht="15.75" customHeight="1">
      <c r="A165" s="801"/>
      <c r="B165" s="2914" t="s">
        <v>1757</v>
      </c>
      <c r="C165" s="2462" t="str">
        <f>FIXED(C164*'Beer Data Sheet'!AF$3+VLOOKUP(L9,'Beer Data Sheet'!AE6:AF49,2))</f>
        <v>1.70</v>
      </c>
      <c r="D165" s="2667" t="s">
        <v>678</v>
      </c>
      <c r="E165" s="2313" t="str">
        <f>FIXED(E164*'Beer Data Sheet'!AF$3+VLOOKUP(L9,'Beer Data Sheet'!AE6:AF49,2))</f>
        <v>1.70</v>
      </c>
      <c r="F165" s="2667" t="s">
        <v>678</v>
      </c>
      <c r="G165" s="2694" t="str">
        <f>'Beer Data Sheet'!Y26</f>
        <v>WGV</v>
      </c>
      <c r="H165" s="2695">
        <f>'Beer Data Sheet'!Z26</f>
        <v>6.3</v>
      </c>
      <c r="I165" s="2321"/>
      <c r="J165" s="2322">
        <f t="shared" si="80"/>
        <v>0</v>
      </c>
      <c r="K165" s="2323"/>
      <c r="L165" s="2330">
        <f t="shared" si="81"/>
        <v>0</v>
      </c>
      <c r="M165" s="1809"/>
      <c r="N165" s="5076"/>
      <c r="O165" s="5077"/>
      <c r="P165" s="5077"/>
      <c r="Q165" s="5077"/>
      <c r="R165" s="5077"/>
      <c r="S165" s="5078"/>
      <c r="T165" s="555"/>
      <c r="U165" s="785"/>
      <c r="V165" s="617"/>
      <c r="W165" s="617"/>
      <c r="X165" s="617"/>
      <c r="Y165" s="617"/>
      <c r="Z165" s="785"/>
      <c r="AA165" s="785"/>
      <c r="AB165" s="785"/>
      <c r="AC165" s="663">
        <f t="shared" si="72"/>
        <v>0</v>
      </c>
      <c r="AD165" s="663">
        <f t="shared" si="73"/>
        <v>0</v>
      </c>
      <c r="AE165" s="626"/>
      <c r="AF165" s="626"/>
      <c r="AG165" s="626"/>
      <c r="AH165" s="626"/>
      <c r="AI165" s="687" t="s">
        <v>710</v>
      </c>
      <c r="AJ165" s="684">
        <f>(1.079*(SUM(AJ156:AJ159))/C148)</f>
        <v>8.6789130434782606</v>
      </c>
      <c r="AK165" s="626"/>
      <c r="AL165" s="626"/>
      <c r="AM165" s="687" t="s">
        <v>710</v>
      </c>
      <c r="AN165" s="684">
        <f>(1.079*(SUM(AN156:AN159))/E148)</f>
        <v>14.953532608695651</v>
      </c>
      <c r="AO165" s="626"/>
      <c r="AP165" s="626"/>
      <c r="AQ165" s="626"/>
      <c r="AR165" s="626"/>
      <c r="AS165" s="626"/>
      <c r="AT165" s="626"/>
      <c r="AU165" s="626"/>
      <c r="AV165" s="626"/>
      <c r="AW165" s="626"/>
      <c r="AX165" s="881"/>
      <c r="AY165" s="692"/>
      <c r="AZ165" s="692"/>
      <c r="BA165" s="555"/>
    </row>
    <row r="166" spans="1:53" ht="15.75" customHeight="1">
      <c r="A166" s="801"/>
      <c r="B166" s="2913" t="s">
        <v>708</v>
      </c>
      <c r="C166" s="2463">
        <v>75</v>
      </c>
      <c r="D166" s="2460">
        <f>C166</f>
        <v>75</v>
      </c>
      <c r="E166" s="3385">
        <v>75</v>
      </c>
      <c r="F166" s="2458">
        <f>E166</f>
        <v>75</v>
      </c>
      <c r="G166" s="2694" t="str">
        <f>'Beer Data Sheet'!Y27</f>
        <v xml:space="preserve">Other </v>
      </c>
      <c r="H166" s="2695">
        <f>'Beer Data Sheet'!Z27</f>
        <v>0</v>
      </c>
      <c r="I166" s="2321"/>
      <c r="J166" s="2322">
        <f>I166*D$148/C$148</f>
        <v>0</v>
      </c>
      <c r="K166" s="2323"/>
      <c r="L166" s="2330">
        <f t="shared" si="81"/>
        <v>0</v>
      </c>
      <c r="M166" s="1809"/>
      <c r="N166" s="5079"/>
      <c r="O166" s="5080"/>
      <c r="P166" s="5080"/>
      <c r="Q166" s="5080"/>
      <c r="R166" s="5080"/>
      <c r="S166" s="5081"/>
      <c r="T166" s="555"/>
      <c r="U166" s="785"/>
      <c r="V166" s="617"/>
      <c r="W166" s="617"/>
      <c r="X166" s="617"/>
      <c r="Y166" s="617"/>
      <c r="Z166" s="785"/>
      <c r="AA166" s="785"/>
      <c r="AB166" s="785"/>
      <c r="AC166" s="663">
        <f t="shared" si="72"/>
        <v>0</v>
      </c>
      <c r="AD166" s="663">
        <f t="shared" si="73"/>
        <v>0</v>
      </c>
      <c r="AE166" s="626"/>
      <c r="AF166" s="663"/>
      <c r="AG166" s="663"/>
      <c r="AH166" s="626"/>
      <c r="AI166" s="358" t="s">
        <v>207</v>
      </c>
      <c r="AJ166" s="441"/>
      <c r="AK166" s="358"/>
      <c r="AL166" s="358"/>
      <c r="AM166" s="358" t="s">
        <v>207</v>
      </c>
      <c r="AN166" s="441"/>
      <c r="AO166" s="358"/>
      <c r="AP166" s="626"/>
      <c r="AQ166" s="626"/>
      <c r="AR166" s="626"/>
      <c r="AS166" s="626"/>
      <c r="AT166" s="626"/>
      <c r="AU166" s="626"/>
      <c r="AV166" s="626"/>
      <c r="AW166" s="626"/>
      <c r="AX166" s="881"/>
      <c r="AY166" s="692"/>
      <c r="AZ166" s="692"/>
      <c r="BA166" s="555"/>
    </row>
    <row r="167" spans="1:53" ht="15.75" customHeight="1">
      <c r="A167" s="802"/>
      <c r="B167" s="2915"/>
      <c r="C167" s="2464" t="s">
        <v>203</v>
      </c>
      <c r="D167" s="2490" t="s">
        <v>709</v>
      </c>
      <c r="E167" s="2489" t="str">
        <f>C167</f>
        <v>Ale</v>
      </c>
      <c r="F167" s="3838" t="s">
        <v>1944</v>
      </c>
      <c r="G167" s="2694" t="str">
        <f>'Beer Data Sheet'!Y28</f>
        <v xml:space="preserve">Other </v>
      </c>
      <c r="H167" s="2695">
        <f>'Beer Data Sheet'!Z28</f>
        <v>0</v>
      </c>
      <c r="I167" s="2321"/>
      <c r="J167" s="2322">
        <f>I167*D$148/C$148</f>
        <v>0</v>
      </c>
      <c r="K167" s="2323"/>
      <c r="L167" s="2330">
        <f t="shared" si="81"/>
        <v>0</v>
      </c>
      <c r="M167" s="453"/>
      <c r="N167" s="453"/>
      <c r="O167" s="453"/>
      <c r="P167" s="453"/>
      <c r="Q167" s="453"/>
      <c r="R167" s="626"/>
      <c r="S167" s="555"/>
      <c r="T167" s="555"/>
      <c r="U167" s="785"/>
      <c r="V167" s="617"/>
      <c r="W167" s="617"/>
      <c r="X167" s="617"/>
      <c r="Y167" s="617"/>
      <c r="Z167" s="785"/>
      <c r="AA167" s="785"/>
      <c r="AB167" s="785"/>
      <c r="AC167" s="663">
        <f t="shared" si="72"/>
        <v>0</v>
      </c>
      <c r="AD167" s="663">
        <f t="shared" si="73"/>
        <v>0</v>
      </c>
      <c r="AE167" s="663"/>
      <c r="AF167" s="663"/>
      <c r="AG167" s="663"/>
      <c r="AH167" s="663"/>
      <c r="AI167" s="3539" t="s">
        <v>689</v>
      </c>
      <c r="AJ167" s="751">
        <f>(C164*0.375*C148+SUM(AI148:AI160))/C148</f>
        <v>37.518206521739131</v>
      </c>
      <c r="AK167" s="752" t="s">
        <v>192</v>
      </c>
      <c r="AL167" s="752"/>
      <c r="AM167" s="3539" t="s">
        <v>689</v>
      </c>
      <c r="AN167" s="751">
        <f>(E164*0.375*E148+SUM(AM148:AM160))/E148</f>
        <v>42.399728260869566</v>
      </c>
      <c r="AO167" s="752" t="s">
        <v>192</v>
      </c>
      <c r="AP167" s="626"/>
      <c r="AQ167" s="626"/>
      <c r="AR167" s="626"/>
      <c r="AS167" s="626"/>
      <c r="AT167" s="626"/>
      <c r="AU167" s="626"/>
      <c r="AV167" s="626"/>
      <c r="AW167" s="626"/>
      <c r="AX167" s="881"/>
      <c r="AY167" s="692"/>
      <c r="AZ167" s="692"/>
      <c r="BA167" s="555"/>
    </row>
    <row r="168" spans="1:53" ht="15.75" customHeight="1">
      <c r="A168" s="738"/>
      <c r="B168" s="2916" t="s">
        <v>1714</v>
      </c>
      <c r="C168" s="2465" t="str">
        <f>FIXED((100*(1-(AJ169/AJ168))),1)&amp;"%"</f>
        <v>82.3%</v>
      </c>
      <c r="D168" s="5250" t="s">
        <v>721</v>
      </c>
      <c r="E168" s="2917" t="str">
        <f>FIXED((100*(1-(AN169/AN168))),1)&amp;"%"</f>
        <v>86.1%</v>
      </c>
      <c r="F168" s="5252" t="s">
        <v>729</v>
      </c>
      <c r="G168" s="803" t="s">
        <v>706</v>
      </c>
      <c r="H168" s="2434" t="s">
        <v>412</v>
      </c>
      <c r="I168" s="2324"/>
      <c r="J168" s="2325">
        <f>I168*D$148/C$148</f>
        <v>0</v>
      </c>
      <c r="K168" s="2326"/>
      <c r="L168" s="2288">
        <f>K168*F$148/E$148</f>
        <v>0</v>
      </c>
      <c r="M168" s="5216" t="s">
        <v>1799</v>
      </c>
      <c r="N168" s="5217"/>
      <c r="O168" s="5217"/>
      <c r="P168" s="5217"/>
      <c r="Q168" s="5217"/>
      <c r="R168" s="5217"/>
      <c r="S168" s="555"/>
      <c r="T168" s="555"/>
      <c r="U168" s="785"/>
      <c r="V168" s="617"/>
      <c r="W168" s="617"/>
      <c r="X168" s="617"/>
      <c r="Y168" s="617"/>
      <c r="Z168" s="785"/>
      <c r="AA168" s="785"/>
      <c r="AB168" s="785"/>
      <c r="AC168" s="663">
        <f>SUM(AC148:AC167)</f>
        <v>495</v>
      </c>
      <c r="AD168" s="663">
        <f>SUM(AD148:AD167)</f>
        <v>495</v>
      </c>
      <c r="AE168" s="755">
        <f>0.01*$AC$53*(E139-E140)/(7.75-(3*(E139-1000)/800))</f>
        <v>0.26788541492449303</v>
      </c>
      <c r="AF168" s="663"/>
      <c r="AG168" s="663"/>
      <c r="AH168" s="663"/>
      <c r="AI168" s="756" t="s">
        <v>690</v>
      </c>
      <c r="AJ168" s="751">
        <f>SUM(AI148:AI159)/C148</f>
        <v>36.336956521739133</v>
      </c>
      <c r="AK168" s="752" t="s">
        <v>192</v>
      </c>
      <c r="AL168" s="752"/>
      <c r="AM168" s="756" t="s">
        <v>690</v>
      </c>
      <c r="AN168" s="751">
        <f>SUM(AM148:AM159)/E148</f>
        <v>41.218478260869567</v>
      </c>
      <c r="AO168" s="752" t="s">
        <v>192</v>
      </c>
      <c r="AP168" s="626"/>
      <c r="AQ168" s="626"/>
      <c r="AR168" s="626"/>
      <c r="AS168" s="626"/>
      <c r="AT168" s="626"/>
      <c r="AU168" s="626"/>
      <c r="AV168" s="626"/>
      <c r="AW168" s="626"/>
      <c r="AX168" s="690"/>
      <c r="AY168" s="692"/>
      <c r="AZ168" s="692"/>
      <c r="BA168" s="555"/>
    </row>
    <row r="169" spans="1:53" ht="15.75" customHeight="1">
      <c r="A169" s="738"/>
      <c r="B169" s="2918" t="s">
        <v>1746</v>
      </c>
      <c r="C169" s="2465" t="str">
        <f>FIXED(100*(1-(((0.1808*AJ168)+(0.8192*AJ169))/AJ168)),1)&amp;"%"</f>
        <v>67.4%</v>
      </c>
      <c r="D169" s="5251"/>
      <c r="E169" s="2917" t="str">
        <f>FIXED(100*(1-(((0.1808*AN168)+(0.8192*AN169))/AN168)),1)&amp;"%"</f>
        <v>70.5%</v>
      </c>
      <c r="F169" s="5253"/>
      <c r="G169" s="3344" t="s">
        <v>681</v>
      </c>
      <c r="H169" s="2435" t="s">
        <v>682</v>
      </c>
      <c r="I169" s="2269">
        <v>8</v>
      </c>
      <c r="J169" s="2327">
        <f>I169*D$148/C$148</f>
        <v>5.2329749103942644</v>
      </c>
      <c r="K169" s="2328">
        <v>8</v>
      </c>
      <c r="L169" s="2289">
        <f>K169*F$148/E$148</f>
        <v>4.7096774193548381</v>
      </c>
      <c r="M169" s="5218" t="str">
        <f>"ml = "&amp;FIXED(J169/5,2)&amp;" ̸ "&amp;FIXED(L169/5,2)&amp;" 1 tsp (5ml)."</f>
        <v>ml = 1.05 ̸ 0.94 1 tsp (5ml).</v>
      </c>
      <c r="N169" s="5219"/>
      <c r="O169" s="5219"/>
      <c r="P169" s="847"/>
      <c r="Q169" s="847"/>
      <c r="R169" s="847"/>
      <c r="S169" s="672"/>
      <c r="T169" s="805"/>
      <c r="U169" s="785"/>
      <c r="V169" s="617"/>
      <c r="W169" s="617"/>
      <c r="X169" s="617"/>
      <c r="Y169" s="617"/>
      <c r="Z169" s="785"/>
      <c r="AA169" s="785"/>
      <c r="AB169" s="804"/>
      <c r="AC169" s="663"/>
      <c r="AD169" s="663"/>
      <c r="AE169" s="702">
        <f>0.00000001*E140*((1000*E139)/$AC$53+(819.2*E140)-1000400)</f>
        <v>0.11869870067481191</v>
      </c>
      <c r="AF169" s="690"/>
      <c r="AG169" s="690"/>
      <c r="AH169" s="663"/>
      <c r="AI169" s="756" t="s">
        <v>692</v>
      </c>
      <c r="AJ169" s="684">
        <f>(AJ167-(0.375*C164*C148)/C148-AJ163-AJ165)</f>
        <v>6.4379347826086963</v>
      </c>
      <c r="AK169" s="752" t="s">
        <v>216</v>
      </c>
      <c r="AL169" s="752"/>
      <c r="AM169" s="756" t="s">
        <v>692</v>
      </c>
      <c r="AN169" s="684">
        <f>(AN167-(0.375*E164*E148)/E148-AN163-AN165)</f>
        <v>5.745108695652176</v>
      </c>
      <c r="AO169" s="752" t="s">
        <v>216</v>
      </c>
      <c r="AP169" s="626"/>
      <c r="AQ169" s="626"/>
      <c r="AR169" s="626"/>
      <c r="AS169" s="626"/>
      <c r="AT169" s="626"/>
      <c r="AU169" s="626"/>
      <c r="AV169" s="626"/>
      <c r="AW169" s="626"/>
      <c r="AX169" s="690"/>
      <c r="AY169" s="692"/>
      <c r="AZ169" s="692"/>
      <c r="BA169" s="555"/>
    </row>
    <row r="170" spans="1:53" ht="15.75" customHeight="1">
      <c r="A170" s="738"/>
      <c r="B170" s="2620"/>
      <c r="C170" s="2619"/>
      <c r="D170" s="2619"/>
      <c r="E170" s="2619"/>
      <c r="F170" s="2619"/>
      <c r="G170" s="3447"/>
      <c r="H170" s="2621"/>
      <c r="I170" s="2621"/>
      <c r="J170" s="2621"/>
      <c r="K170" s="2621"/>
      <c r="L170" s="2621"/>
      <c r="M170" s="3529"/>
      <c r="N170" s="3529"/>
      <c r="O170" s="3529"/>
      <c r="P170" s="847"/>
      <c r="Q170" s="847"/>
      <c r="R170" s="847"/>
      <c r="S170" s="672"/>
      <c r="T170" s="805"/>
      <c r="U170" s="785"/>
      <c r="V170" s="617"/>
      <c r="W170" s="617"/>
      <c r="X170" s="617"/>
      <c r="Y170" s="617"/>
      <c r="Z170" s="785"/>
      <c r="AA170" s="785"/>
      <c r="AB170" s="804"/>
      <c r="AC170" s="755">
        <f>0.01*$AC$53*(C139-C140)/(7.75-(3*(C139-1000)/800))</f>
        <v>0.22670279549788738</v>
      </c>
      <c r="AD170" s="688" t="s">
        <v>33</v>
      </c>
      <c r="AE170" s="702"/>
      <c r="AF170" s="690"/>
      <c r="AG170" s="690"/>
      <c r="AH170" s="663"/>
      <c r="AI170" s="756"/>
      <c r="AJ170" s="684"/>
      <c r="AK170" s="752"/>
      <c r="AL170" s="752"/>
      <c r="AM170" s="756"/>
      <c r="AN170" s="684"/>
      <c r="AO170" s="752"/>
      <c r="AP170" s="626"/>
      <c r="AQ170" s="626"/>
      <c r="AR170" s="626"/>
      <c r="AS170" s="626"/>
      <c r="AT170" s="626"/>
      <c r="AU170" s="626"/>
      <c r="AV170" s="626"/>
      <c r="AW170" s="626"/>
      <c r="AX170" s="690"/>
      <c r="AY170" s="692"/>
      <c r="AZ170" s="692"/>
      <c r="BA170" s="555"/>
    </row>
    <row r="171" spans="1:53" ht="15.75" customHeight="1">
      <c r="A171" s="738"/>
      <c r="B171" s="2620"/>
      <c r="C171" s="2619"/>
      <c r="D171" s="2619"/>
      <c r="E171" s="2619"/>
      <c r="F171" s="2619"/>
      <c r="G171" s="2668"/>
      <c r="H171" s="2621"/>
      <c r="I171" s="2621"/>
      <c r="J171" s="2621"/>
      <c r="K171" s="2621"/>
      <c r="L171" s="2621"/>
      <c r="M171" s="3529"/>
      <c r="N171" s="3529"/>
      <c r="O171" s="3529"/>
      <c r="P171" s="847"/>
      <c r="Q171" s="847"/>
      <c r="R171" s="847"/>
      <c r="S171" s="672"/>
      <c r="T171" s="805"/>
      <c r="U171" s="785"/>
      <c r="V171" s="617"/>
      <c r="W171" s="617"/>
      <c r="X171" s="617"/>
      <c r="Y171" s="617"/>
      <c r="Z171" s="785"/>
      <c r="AA171" s="785"/>
      <c r="AB171" s="804"/>
      <c r="AC171" s="702">
        <f>0.00000001*C140*((1000*C139)/$AC$53+(819.2*C140)-1000400)</f>
        <v>0.11561469608144045</v>
      </c>
      <c r="AD171" s="696" t="s">
        <v>33</v>
      </c>
      <c r="AE171" s="626"/>
      <c r="AF171" s="626"/>
      <c r="AG171" s="626"/>
      <c r="AH171" s="690"/>
      <c r="AI171" s="699" t="s">
        <v>693</v>
      </c>
      <c r="AJ171" s="700">
        <f>(AJ167-AJ163-AJ164)</f>
        <v>6.3446160326086947</v>
      </c>
      <c r="AK171" s="701" t="s">
        <v>216</v>
      </c>
      <c r="AL171" s="701"/>
      <c r="AM171" s="699" t="s">
        <v>693</v>
      </c>
      <c r="AN171" s="700">
        <f>(AN167-AN163-AN164)</f>
        <v>5.6517899456521761</v>
      </c>
      <c r="AO171" s="701" t="s">
        <v>216</v>
      </c>
      <c r="AP171" s="626"/>
      <c r="AQ171" s="626"/>
      <c r="AR171" s="626"/>
      <c r="AS171" s="626"/>
      <c r="AT171" s="626"/>
      <c r="AU171" s="626"/>
      <c r="AV171" s="626"/>
      <c r="AW171" s="626"/>
      <c r="AX171" s="690"/>
      <c r="AY171" s="692"/>
      <c r="AZ171" s="692"/>
      <c r="BA171" s="555"/>
    </row>
    <row r="172" spans="1:53" ht="15.75" customHeight="1">
      <c r="A172" s="617"/>
      <c r="B172" s="5220" t="s">
        <v>1800</v>
      </c>
      <c r="C172" s="5220"/>
      <c r="D172" s="5220"/>
      <c r="E172" s="5220"/>
      <c r="F172" s="5220"/>
      <c r="G172" s="5220"/>
      <c r="H172" s="5220"/>
      <c r="I172" s="5220"/>
      <c r="J172" s="5220"/>
      <c r="K172" s="5220"/>
      <c r="L172" s="5220"/>
      <c r="M172" s="5221"/>
      <c r="N172" s="5220"/>
      <c r="O172" s="5220"/>
      <c r="P172" s="5220"/>
      <c r="Q172" s="5220"/>
      <c r="R172" s="5220"/>
      <c r="S172" s="5220"/>
      <c r="T172" s="5220"/>
      <c r="U172" s="5220"/>
      <c r="V172" s="5220"/>
      <c r="W172" s="5222"/>
      <c r="X172" s="5222"/>
      <c r="Y172" s="5220"/>
      <c r="Z172" s="5220"/>
      <c r="AA172" s="785"/>
      <c r="AB172" s="632"/>
      <c r="AC172" s="626"/>
      <c r="AD172" s="626"/>
      <c r="AE172" s="626"/>
      <c r="AF172" s="626"/>
      <c r="AG172" s="626"/>
      <c r="AH172" s="626"/>
      <c r="AI172" s="626"/>
      <c r="AJ172" s="626"/>
      <c r="AK172" s="626"/>
      <c r="AL172" s="626"/>
      <c r="AM172" s="626"/>
      <c r="AN172" s="626"/>
      <c r="AO172" s="626"/>
      <c r="AP172" s="626"/>
      <c r="AQ172" s="626"/>
      <c r="AR172" s="626"/>
      <c r="AS172" s="626"/>
      <c r="AT172" s="626"/>
      <c r="AU172" s="626"/>
      <c r="AV172" s="626"/>
      <c r="AW172" s="626"/>
      <c r="AX172" s="690"/>
      <c r="AY172" s="692"/>
      <c r="AZ172" s="692"/>
      <c r="BA172" s="555"/>
    </row>
    <row r="173" spans="1:53" ht="15.75" customHeight="1">
      <c r="A173" s="617"/>
      <c r="B173" s="5223" t="s">
        <v>726</v>
      </c>
      <c r="C173" s="5225" t="s">
        <v>763</v>
      </c>
      <c r="D173" s="5226"/>
      <c r="E173" s="5226"/>
      <c r="F173" s="5227"/>
      <c r="G173" s="5228"/>
      <c r="H173" s="5229"/>
      <c r="I173" s="5234" t="s">
        <v>757</v>
      </c>
      <c r="J173" s="5235"/>
      <c r="K173" s="5235"/>
      <c r="L173" s="5235"/>
      <c r="M173" s="5235"/>
      <c r="N173" s="5235"/>
      <c r="O173" s="5235"/>
      <c r="P173" s="5235"/>
      <c r="Q173" s="5235"/>
      <c r="R173" s="5235"/>
      <c r="S173" s="5235"/>
      <c r="T173" s="5236"/>
      <c r="U173" s="5237" t="s">
        <v>756</v>
      </c>
      <c r="V173" s="5238"/>
      <c r="W173" s="5238"/>
      <c r="X173" s="5238"/>
      <c r="Y173" s="5238"/>
      <c r="Z173" s="5239"/>
      <c r="AA173" s="2177"/>
      <c r="AB173" s="632"/>
      <c r="AC173" s="626"/>
      <c r="AD173" s="626"/>
      <c r="AE173" s="626"/>
      <c r="AF173" s="626"/>
      <c r="AG173" s="626"/>
      <c r="AH173" s="626"/>
      <c r="AI173" s="626"/>
      <c r="AJ173" s="626"/>
      <c r="AK173" s="626"/>
      <c r="AL173" s="626"/>
      <c r="AM173" s="626"/>
      <c r="AN173" s="626"/>
      <c r="AO173" s="626"/>
      <c r="AP173" s="626"/>
      <c r="AQ173" s="626"/>
      <c r="AR173" s="626"/>
      <c r="AS173" s="626"/>
      <c r="AT173" s="626"/>
      <c r="AU173" s="626"/>
      <c r="AV173" s="626"/>
      <c r="AW173" s="626"/>
      <c r="AX173" s="626"/>
      <c r="AY173" s="692"/>
      <c r="AZ173" s="692"/>
      <c r="BA173" s="555"/>
    </row>
    <row r="174" spans="1:53" ht="15.75" customHeight="1">
      <c r="A174" s="617"/>
      <c r="B174" s="5224"/>
      <c r="C174" s="5243" t="s">
        <v>727</v>
      </c>
      <c r="D174" s="5244"/>
      <c r="E174" s="5244"/>
      <c r="F174" s="5245"/>
      <c r="G174" s="5230"/>
      <c r="H174" s="5231"/>
      <c r="I174" s="5246" t="s">
        <v>81</v>
      </c>
      <c r="J174" s="5247"/>
      <c r="K174" s="5247"/>
      <c r="L174" s="5247"/>
      <c r="M174" s="5248"/>
      <c r="N174" s="5249"/>
      <c r="O174" s="5197" t="s">
        <v>82</v>
      </c>
      <c r="P174" s="5198"/>
      <c r="Q174" s="5198"/>
      <c r="R174" s="5198"/>
      <c r="S174" s="5198"/>
      <c r="T174" s="5199"/>
      <c r="U174" s="5240"/>
      <c r="V174" s="5241"/>
      <c r="W174" s="5241"/>
      <c r="X174" s="5241"/>
      <c r="Y174" s="5241"/>
      <c r="Z174" s="5242"/>
      <c r="AA174" s="2177"/>
      <c r="AB174" s="617"/>
      <c r="AC174" s="806" t="s">
        <v>90</v>
      </c>
      <c r="AD174" s="807"/>
      <c r="AE174" s="807"/>
      <c r="AF174" s="807"/>
      <c r="AG174" s="807"/>
      <c r="AH174" s="807"/>
      <c r="AI174" s="808" t="s">
        <v>91</v>
      </c>
      <c r="AJ174" s="806"/>
      <c r="AK174" s="806"/>
      <c r="AL174" s="806"/>
      <c r="AM174" s="806"/>
      <c r="AN174" s="806"/>
      <c r="AO174" s="808" t="s">
        <v>91</v>
      </c>
      <c r="AP174" s="806"/>
      <c r="AQ174" s="806"/>
      <c r="AR174" s="806"/>
      <c r="AS174" s="806"/>
      <c r="AT174" s="626"/>
      <c r="AU174" s="626"/>
      <c r="AV174" s="626"/>
      <c r="AW174" s="626"/>
      <c r="AX174" s="626"/>
      <c r="AY174" s="692"/>
      <c r="AZ174" s="692"/>
      <c r="BA174" s="555"/>
    </row>
    <row r="175" spans="1:53" ht="15.75" customHeight="1">
      <c r="A175" s="617"/>
      <c r="B175" s="640" t="s">
        <v>14</v>
      </c>
      <c r="C175" s="2201">
        <f>1000+AY212</f>
        <v>1050.183152173913</v>
      </c>
      <c r="D175" s="3342">
        <v>51</v>
      </c>
      <c r="E175" s="5254"/>
      <c r="F175" s="5257" t="s">
        <v>1802</v>
      </c>
      <c r="G175" s="5232"/>
      <c r="H175" s="5233"/>
      <c r="I175" s="3266" t="s">
        <v>86</v>
      </c>
      <c r="J175" s="3267" t="s">
        <v>87</v>
      </c>
      <c r="K175" s="3267" t="s">
        <v>88</v>
      </c>
      <c r="L175" s="3267" t="s">
        <v>89</v>
      </c>
      <c r="M175" s="3267" t="s">
        <v>94</v>
      </c>
      <c r="N175" s="3268" t="s">
        <v>332</v>
      </c>
      <c r="O175" s="3269" t="s">
        <v>86</v>
      </c>
      <c r="P175" s="3267" t="s">
        <v>87</v>
      </c>
      <c r="Q175" s="3267" t="s">
        <v>88</v>
      </c>
      <c r="R175" s="3267" t="s">
        <v>89</v>
      </c>
      <c r="S175" s="3267" t="s">
        <v>94</v>
      </c>
      <c r="T175" s="3268" t="s">
        <v>332</v>
      </c>
      <c r="U175" s="3270" t="s">
        <v>86</v>
      </c>
      <c r="V175" s="3271" t="s">
        <v>87</v>
      </c>
      <c r="W175" s="3271" t="s">
        <v>88</v>
      </c>
      <c r="X175" s="3271" t="s">
        <v>89</v>
      </c>
      <c r="Y175" s="3271" t="s">
        <v>94</v>
      </c>
      <c r="Z175" s="3272" t="s">
        <v>332</v>
      </c>
      <c r="AA175" s="2178"/>
      <c r="AB175" s="617"/>
      <c r="AC175" s="645" t="s">
        <v>86</v>
      </c>
      <c r="AD175" s="645" t="s">
        <v>87</v>
      </c>
      <c r="AE175" s="645" t="s">
        <v>88</v>
      </c>
      <c r="AF175" s="645" t="s">
        <v>89</v>
      </c>
      <c r="AG175" s="645" t="s">
        <v>94</v>
      </c>
      <c r="AH175" s="645" t="s">
        <v>332</v>
      </c>
      <c r="AI175" s="809" t="s">
        <v>86</v>
      </c>
      <c r="AJ175" s="645" t="s">
        <v>87</v>
      </c>
      <c r="AK175" s="645" t="s">
        <v>88</v>
      </c>
      <c r="AL175" s="645" t="s">
        <v>89</v>
      </c>
      <c r="AM175" s="645" t="s">
        <v>94</v>
      </c>
      <c r="AN175" s="645" t="s">
        <v>332</v>
      </c>
      <c r="AO175" s="809" t="s">
        <v>86</v>
      </c>
      <c r="AP175" s="645" t="s">
        <v>87</v>
      </c>
      <c r="AQ175" s="645" t="s">
        <v>88</v>
      </c>
      <c r="AR175" s="645" t="s">
        <v>89</v>
      </c>
      <c r="AS175" s="645" t="s">
        <v>94</v>
      </c>
      <c r="AT175" s="645" t="s">
        <v>332</v>
      </c>
      <c r="AU175" s="626"/>
      <c r="AV175" s="626"/>
      <c r="AW175" s="626"/>
      <c r="AX175" s="626"/>
      <c r="AY175" s="626"/>
      <c r="AZ175" s="626"/>
      <c r="BA175" s="555"/>
    </row>
    <row r="176" spans="1:53" ht="15.75" customHeight="1">
      <c r="A176" s="617"/>
      <c r="B176" s="705" t="s">
        <v>312</v>
      </c>
      <c r="C176" s="2204">
        <f>1000+AY214</f>
        <v>1011.7685255434783</v>
      </c>
      <c r="D176" s="3334">
        <v>13</v>
      </c>
      <c r="E176" s="5255"/>
      <c r="F176" s="5258"/>
      <c r="G176" s="2707" t="s">
        <v>84</v>
      </c>
      <c r="H176" s="810" t="s">
        <v>671</v>
      </c>
      <c r="I176" s="3273" t="s">
        <v>76</v>
      </c>
      <c r="J176" s="3274" t="s">
        <v>76</v>
      </c>
      <c r="K176" s="3274" t="s">
        <v>76</v>
      </c>
      <c r="L176" s="3274" t="s">
        <v>76</v>
      </c>
      <c r="M176" s="3274" t="s">
        <v>76</v>
      </c>
      <c r="N176" s="3275" t="s">
        <v>76</v>
      </c>
      <c r="O176" s="3276" t="s">
        <v>76</v>
      </c>
      <c r="P176" s="3274" t="s">
        <v>76</v>
      </c>
      <c r="Q176" s="3274" t="s">
        <v>76</v>
      </c>
      <c r="R176" s="3274" t="s">
        <v>76</v>
      </c>
      <c r="S176" s="3274" t="s">
        <v>76</v>
      </c>
      <c r="T176" s="3275" t="s">
        <v>76</v>
      </c>
      <c r="U176" s="3277" t="s">
        <v>76</v>
      </c>
      <c r="V176" s="3274" t="s">
        <v>76</v>
      </c>
      <c r="W176" s="3274" t="s">
        <v>76</v>
      </c>
      <c r="X176" s="3274" t="s">
        <v>76</v>
      </c>
      <c r="Y176" s="3274" t="s">
        <v>76</v>
      </c>
      <c r="Z176" s="3278" t="s">
        <v>76</v>
      </c>
      <c r="AA176" s="2179"/>
      <c r="AB176" s="617"/>
      <c r="AC176" s="874" t="s">
        <v>116</v>
      </c>
      <c r="AD176" s="874" t="s">
        <v>116</v>
      </c>
      <c r="AE176" s="874" t="s">
        <v>116</v>
      </c>
      <c r="AF176" s="874" t="s">
        <v>116</v>
      </c>
      <c r="AG176" s="874" t="s">
        <v>116</v>
      </c>
      <c r="AH176" s="874" t="s">
        <v>116</v>
      </c>
      <c r="AI176" s="796" t="s">
        <v>116</v>
      </c>
      <c r="AJ176" s="874" t="s">
        <v>116</v>
      </c>
      <c r="AK176" s="874" t="s">
        <v>116</v>
      </c>
      <c r="AL176" s="874" t="s">
        <v>116</v>
      </c>
      <c r="AM176" s="874" t="s">
        <v>116</v>
      </c>
      <c r="AN176" s="874" t="s">
        <v>116</v>
      </c>
      <c r="AO176" s="796" t="s">
        <v>116</v>
      </c>
      <c r="AP176" s="874" t="s">
        <v>116</v>
      </c>
      <c r="AQ176" s="874" t="s">
        <v>116</v>
      </c>
      <c r="AR176" s="874" t="s">
        <v>116</v>
      </c>
      <c r="AS176" s="874" t="s">
        <v>116</v>
      </c>
      <c r="AT176" s="874" t="s">
        <v>116</v>
      </c>
      <c r="AU176" s="626"/>
      <c r="AV176" s="626"/>
      <c r="AW176" s="626"/>
      <c r="AX176" s="626"/>
      <c r="AY176" s="626"/>
      <c r="AZ176" s="626"/>
      <c r="BA176" s="555"/>
    </row>
    <row r="177" spans="1:53" ht="15.75" customHeight="1">
      <c r="A177" s="738"/>
      <c r="B177" s="647" t="s">
        <v>313</v>
      </c>
      <c r="C177" s="2331">
        <f>(C175-C176)/(7.75-(3*(C175-1000)/800))</f>
        <v>5.0800814195396145</v>
      </c>
      <c r="D177" s="3334">
        <v>5.0999999999999996</v>
      </c>
      <c r="E177" s="5255"/>
      <c r="F177" s="5258"/>
      <c r="G177" s="2692" t="str">
        <f>'Beer Data Sheet'!$Y9</f>
        <v>Bramling Cross</v>
      </c>
      <c r="H177" s="2693">
        <f>'Beer Data Sheet'!$Z9</f>
        <v>5.0999999999999996</v>
      </c>
      <c r="I177" s="3293"/>
      <c r="J177" s="3294"/>
      <c r="K177" s="3294"/>
      <c r="L177" s="3294"/>
      <c r="M177" s="3294"/>
      <c r="N177" s="3295"/>
      <c r="O177" s="3296">
        <f t="shared" ref="O177:T191" si="83">I177</f>
        <v>0</v>
      </c>
      <c r="P177" s="3297">
        <f>J177</f>
        <v>0</v>
      </c>
      <c r="Q177" s="3298">
        <f t="shared" si="83"/>
        <v>0</v>
      </c>
      <c r="R177" s="3298">
        <f t="shared" si="83"/>
        <v>0</v>
      </c>
      <c r="S177" s="3298">
        <f t="shared" si="83"/>
        <v>0</v>
      </c>
      <c r="T177" s="3299">
        <f t="shared" si="83"/>
        <v>0</v>
      </c>
      <c r="U177" s="3300"/>
      <c r="V177" s="3301"/>
      <c r="W177" s="3301"/>
      <c r="X177" s="3301"/>
      <c r="Y177" s="3301"/>
      <c r="Z177" s="3302"/>
      <c r="AA177" s="2679" t="str">
        <f t="shared" ref="AA177:AA191" si="84">G177</f>
        <v>Bramling Cross</v>
      </c>
      <c r="AB177" s="617"/>
      <c r="AC177" s="663">
        <f t="shared" ref="AC177:AH177" si="85">$H177*I177</f>
        <v>0</v>
      </c>
      <c r="AD177" s="663">
        <f t="shared" si="85"/>
        <v>0</v>
      </c>
      <c r="AE177" s="663">
        <f t="shared" si="85"/>
        <v>0</v>
      </c>
      <c r="AF177" s="663">
        <f t="shared" si="85"/>
        <v>0</v>
      </c>
      <c r="AG177" s="663">
        <f t="shared" si="85"/>
        <v>0</v>
      </c>
      <c r="AH177" s="663">
        <f t="shared" si="85"/>
        <v>0</v>
      </c>
      <c r="AI177" s="739">
        <f>$H177*O177</f>
        <v>0</v>
      </c>
      <c r="AJ177" s="663">
        <f t="shared" ref="AJ177:AT177" si="86">$H177*P177</f>
        <v>0</v>
      </c>
      <c r="AK177" s="663">
        <f t="shared" si="86"/>
        <v>0</v>
      </c>
      <c r="AL177" s="663">
        <f t="shared" si="86"/>
        <v>0</v>
      </c>
      <c r="AM177" s="663">
        <f t="shared" si="86"/>
        <v>0</v>
      </c>
      <c r="AN177" s="663">
        <f t="shared" si="86"/>
        <v>0</v>
      </c>
      <c r="AO177" s="739">
        <f t="shared" si="86"/>
        <v>0</v>
      </c>
      <c r="AP177" s="663">
        <f t="shared" si="86"/>
        <v>0</v>
      </c>
      <c r="AQ177" s="663">
        <f t="shared" si="86"/>
        <v>0</v>
      </c>
      <c r="AR177" s="663">
        <f t="shared" si="86"/>
        <v>0</v>
      </c>
      <c r="AS177" s="663">
        <f t="shared" si="86"/>
        <v>0</v>
      </c>
      <c r="AT177" s="663">
        <f t="shared" si="86"/>
        <v>0</v>
      </c>
      <c r="AU177" s="626"/>
      <c r="AV177" s="626"/>
      <c r="AW177" s="626"/>
      <c r="AX177" s="626"/>
      <c r="AY177" s="626"/>
      <c r="AZ177" s="626"/>
      <c r="BA177" s="555"/>
    </row>
    <row r="178" spans="1:53" ht="15.75" customHeight="1">
      <c r="A178" s="738"/>
      <c r="B178" s="708" t="s">
        <v>662</v>
      </c>
      <c r="C178" s="2210">
        <f>1000+AY213</f>
        <v>1047.820652173913</v>
      </c>
      <c r="D178" s="5191" t="s">
        <v>1795</v>
      </c>
      <c r="E178" s="5255"/>
      <c r="F178" s="5258"/>
      <c r="G178" s="2692" t="str">
        <f>'Beer Data Sheet'!$Y10</f>
        <v>Bullion</v>
      </c>
      <c r="H178" s="2693">
        <f>'Beer Data Sheet'!$Z10</f>
        <v>10</v>
      </c>
      <c r="I178" s="3303"/>
      <c r="J178" s="3304"/>
      <c r="K178" s="3304"/>
      <c r="L178" s="3304"/>
      <c r="M178" s="3304"/>
      <c r="N178" s="3305"/>
      <c r="O178" s="3306">
        <f t="shared" si="83"/>
        <v>0</v>
      </c>
      <c r="P178" s="3307">
        <f t="shared" si="83"/>
        <v>0</v>
      </c>
      <c r="Q178" s="3298">
        <f t="shared" si="83"/>
        <v>0</v>
      </c>
      <c r="R178" s="3298">
        <f t="shared" si="83"/>
        <v>0</v>
      </c>
      <c r="S178" s="3298">
        <f t="shared" si="83"/>
        <v>0</v>
      </c>
      <c r="T178" s="3308">
        <f t="shared" si="83"/>
        <v>0</v>
      </c>
      <c r="U178" s="3309"/>
      <c r="V178" s="3310"/>
      <c r="W178" s="3310"/>
      <c r="X178" s="3310"/>
      <c r="Y178" s="3310"/>
      <c r="Z178" s="3311"/>
      <c r="AA178" s="2680" t="str">
        <f t="shared" si="84"/>
        <v>Bullion</v>
      </c>
      <c r="AB178" s="617"/>
      <c r="AC178" s="663">
        <f t="shared" ref="AC178:AC199" si="87">$H178*I178</f>
        <v>0</v>
      </c>
      <c r="AD178" s="663">
        <f t="shared" ref="AD178:AD199" si="88">$H178*J178</f>
        <v>0</v>
      </c>
      <c r="AE178" s="663">
        <f t="shared" ref="AE178:AE199" si="89">$H178*K178</f>
        <v>0</v>
      </c>
      <c r="AF178" s="663">
        <f t="shared" ref="AF178:AF199" si="90">$H178*L178</f>
        <v>0</v>
      </c>
      <c r="AG178" s="663">
        <f t="shared" ref="AG178:AG199" si="91">$H178*M178</f>
        <v>0</v>
      </c>
      <c r="AH178" s="663">
        <f t="shared" ref="AH178:AH199" si="92">$H178*N178</f>
        <v>0</v>
      </c>
      <c r="AI178" s="739">
        <f t="shared" ref="AI178:AI199" si="93">$H178*O178</f>
        <v>0</v>
      </c>
      <c r="AJ178" s="663">
        <f t="shared" ref="AJ178:AJ199" si="94">$H178*P178</f>
        <v>0</v>
      </c>
      <c r="AK178" s="663">
        <f t="shared" ref="AK178:AK199" si="95">$H178*Q178</f>
        <v>0</v>
      </c>
      <c r="AL178" s="663">
        <f t="shared" ref="AL178:AL199" si="96">$H178*R178</f>
        <v>0</v>
      </c>
      <c r="AM178" s="663">
        <f t="shared" ref="AM178:AM199" si="97">$H178*S178</f>
        <v>0</v>
      </c>
      <c r="AN178" s="663">
        <f t="shared" ref="AN178:AN199" si="98">$H178*T178</f>
        <v>0</v>
      </c>
      <c r="AO178" s="739">
        <f t="shared" ref="AO178:AO199" si="99">$H178*U178</f>
        <v>0</v>
      </c>
      <c r="AP178" s="663">
        <f t="shared" ref="AP178:AP199" si="100">$H178*V178</f>
        <v>0</v>
      </c>
      <c r="AQ178" s="663">
        <f t="shared" ref="AQ178:AQ199" si="101">$H178*W178</f>
        <v>0</v>
      </c>
      <c r="AR178" s="663">
        <f t="shared" ref="AR178:AR199" si="102">$H178*X178</f>
        <v>0</v>
      </c>
      <c r="AS178" s="663">
        <f t="shared" ref="AS178:AS199" si="103">$H178*Y178</f>
        <v>0</v>
      </c>
      <c r="AT178" s="663">
        <f t="shared" ref="AT178:AT199" si="104">$H178*Z178</f>
        <v>0</v>
      </c>
      <c r="AU178" s="626"/>
      <c r="AV178" s="626"/>
      <c r="AW178" s="626"/>
      <c r="AX178" s="626"/>
      <c r="AY178" s="626"/>
      <c r="AZ178" s="626"/>
      <c r="BA178" s="555"/>
    </row>
    <row r="179" spans="1:53" ht="15.75" customHeight="1">
      <c r="A179" s="738"/>
      <c r="B179" s="709" t="s">
        <v>715</v>
      </c>
      <c r="C179" s="2332">
        <f>1000+AY215</f>
        <v>1011.9551630434783</v>
      </c>
      <c r="D179" s="5192"/>
      <c r="E179" s="5255"/>
      <c r="F179" s="5258"/>
      <c r="G179" s="2692" t="str">
        <f>'Beer Data Sheet'!$Y11</f>
        <v>Challenger</v>
      </c>
      <c r="H179" s="2693">
        <f>'Beer Data Sheet'!$Z11</f>
        <v>7.5</v>
      </c>
      <c r="I179" s="3303"/>
      <c r="J179" s="3312"/>
      <c r="K179" s="3312"/>
      <c r="L179" s="3312"/>
      <c r="M179" s="3312"/>
      <c r="N179" s="3313"/>
      <c r="O179" s="3306">
        <f t="shared" si="83"/>
        <v>0</v>
      </c>
      <c r="P179" s="3307">
        <f t="shared" si="83"/>
        <v>0</v>
      </c>
      <c r="Q179" s="3298">
        <f t="shared" si="83"/>
        <v>0</v>
      </c>
      <c r="R179" s="3298">
        <f t="shared" si="83"/>
        <v>0</v>
      </c>
      <c r="S179" s="3298">
        <f t="shared" si="83"/>
        <v>0</v>
      </c>
      <c r="T179" s="3308">
        <f t="shared" si="83"/>
        <v>0</v>
      </c>
      <c r="U179" s="3309"/>
      <c r="V179" s="3310"/>
      <c r="W179" s="3310"/>
      <c r="X179" s="3310"/>
      <c r="Y179" s="3310"/>
      <c r="Z179" s="3311"/>
      <c r="AA179" s="2680" t="str">
        <f t="shared" si="84"/>
        <v>Challenger</v>
      </c>
      <c r="AB179" s="617"/>
      <c r="AC179" s="663">
        <f t="shared" si="87"/>
        <v>0</v>
      </c>
      <c r="AD179" s="663">
        <f t="shared" si="88"/>
        <v>0</v>
      </c>
      <c r="AE179" s="663">
        <f t="shared" si="89"/>
        <v>0</v>
      </c>
      <c r="AF179" s="663">
        <f t="shared" si="90"/>
        <v>0</v>
      </c>
      <c r="AG179" s="663">
        <f t="shared" si="91"/>
        <v>0</v>
      </c>
      <c r="AH179" s="663">
        <f t="shared" si="92"/>
        <v>0</v>
      </c>
      <c r="AI179" s="739">
        <f t="shared" si="93"/>
        <v>0</v>
      </c>
      <c r="AJ179" s="663">
        <f t="shared" si="94"/>
        <v>0</v>
      </c>
      <c r="AK179" s="663">
        <f t="shared" si="95"/>
        <v>0</v>
      </c>
      <c r="AL179" s="663">
        <f t="shared" si="96"/>
        <v>0</v>
      </c>
      <c r="AM179" s="663">
        <f t="shared" si="97"/>
        <v>0</v>
      </c>
      <c r="AN179" s="663">
        <f t="shared" si="98"/>
        <v>0</v>
      </c>
      <c r="AO179" s="739">
        <f t="shared" si="99"/>
        <v>0</v>
      </c>
      <c r="AP179" s="663">
        <f t="shared" si="100"/>
        <v>0</v>
      </c>
      <c r="AQ179" s="663">
        <f t="shared" si="101"/>
        <v>0</v>
      </c>
      <c r="AR179" s="663">
        <f t="shared" si="102"/>
        <v>0</v>
      </c>
      <c r="AS179" s="663">
        <f t="shared" si="103"/>
        <v>0</v>
      </c>
      <c r="AT179" s="663">
        <f t="shared" si="104"/>
        <v>0</v>
      </c>
      <c r="AU179" s="626"/>
      <c r="AV179" s="626"/>
      <c r="AW179" s="626"/>
      <c r="AX179" s="626"/>
      <c r="AY179" s="626"/>
      <c r="AZ179" s="626"/>
      <c r="BA179" s="555"/>
    </row>
    <row r="180" spans="1:53" ht="15.75" customHeight="1">
      <c r="A180" s="738"/>
      <c r="B180" s="792" t="s">
        <v>1830</v>
      </c>
      <c r="C180" s="2721" t="str">
        <f>FIXED((I206+J206+K206+L206+M206+N206),1)+FIXED(I200*'Beer Data Sheet'!R16*'Beer Data Sheet'!T16/('Beer Data Sheet'!O16*C183))&amp;", "&amp;FIXED((O206+P206+Q206+R206+S206+T206),1)+FIXED(O200*'Beer Data Sheet'!R16*'Beer Data Sheet'!T16/('Beer Data Sheet'!O16*C183),0)&amp;", "&amp;FIXED((U206+V206+W206+X206+Y206+Z206),1)+FIXED(U200*'Beer Data Sheet'!R16*'Beer Data Sheet'!T16/('Beer Data Sheet'!O16*C183),1)</f>
        <v>25.9, 26.1, 25.8</v>
      </c>
      <c r="D180" s="3335">
        <v>25</v>
      </c>
      <c r="E180" s="5255"/>
      <c r="F180" s="5258"/>
      <c r="G180" s="2692" t="str">
        <f>'Beer Data Sheet'!$Y12</f>
        <v>EKG</v>
      </c>
      <c r="H180" s="2693">
        <f>'Beer Data Sheet'!$Z12</f>
        <v>5.5</v>
      </c>
      <c r="I180" s="3303"/>
      <c r="J180" s="3312"/>
      <c r="K180" s="3312"/>
      <c r="L180" s="3312"/>
      <c r="M180" s="3312"/>
      <c r="N180" s="3313"/>
      <c r="O180" s="3306">
        <f t="shared" si="83"/>
        <v>0</v>
      </c>
      <c r="P180" s="3307">
        <f t="shared" si="83"/>
        <v>0</v>
      </c>
      <c r="Q180" s="3298">
        <f t="shared" si="83"/>
        <v>0</v>
      </c>
      <c r="R180" s="3298">
        <f t="shared" si="83"/>
        <v>0</v>
      </c>
      <c r="S180" s="3298">
        <f t="shared" si="83"/>
        <v>0</v>
      </c>
      <c r="T180" s="3308">
        <f t="shared" si="83"/>
        <v>0</v>
      </c>
      <c r="U180" s="3309"/>
      <c r="V180" s="3310"/>
      <c r="W180" s="3310"/>
      <c r="X180" s="3310"/>
      <c r="Y180" s="3310"/>
      <c r="Z180" s="3311"/>
      <c r="AA180" s="2680" t="str">
        <f t="shared" si="84"/>
        <v>EKG</v>
      </c>
      <c r="AB180" s="617"/>
      <c r="AC180" s="663">
        <f t="shared" si="87"/>
        <v>0</v>
      </c>
      <c r="AD180" s="663">
        <f t="shared" si="88"/>
        <v>0</v>
      </c>
      <c r="AE180" s="663">
        <f t="shared" si="89"/>
        <v>0</v>
      </c>
      <c r="AF180" s="663">
        <f t="shared" si="90"/>
        <v>0</v>
      </c>
      <c r="AG180" s="663">
        <f t="shared" si="91"/>
        <v>0</v>
      </c>
      <c r="AH180" s="663">
        <f t="shared" si="92"/>
        <v>0</v>
      </c>
      <c r="AI180" s="739">
        <f t="shared" si="93"/>
        <v>0</v>
      </c>
      <c r="AJ180" s="663">
        <f t="shared" si="94"/>
        <v>0</v>
      </c>
      <c r="AK180" s="663">
        <f t="shared" si="95"/>
        <v>0</v>
      </c>
      <c r="AL180" s="663">
        <f t="shared" si="96"/>
        <v>0</v>
      </c>
      <c r="AM180" s="663">
        <f t="shared" si="97"/>
        <v>0</v>
      </c>
      <c r="AN180" s="663">
        <f t="shared" si="98"/>
        <v>0</v>
      </c>
      <c r="AO180" s="739">
        <f t="shared" si="99"/>
        <v>0</v>
      </c>
      <c r="AP180" s="663">
        <f t="shared" si="100"/>
        <v>0</v>
      </c>
      <c r="AQ180" s="663">
        <f t="shared" si="101"/>
        <v>0</v>
      </c>
      <c r="AR180" s="663">
        <f t="shared" si="102"/>
        <v>0</v>
      </c>
      <c r="AS180" s="663">
        <f t="shared" si="103"/>
        <v>0</v>
      </c>
      <c r="AT180" s="663">
        <f t="shared" si="104"/>
        <v>0</v>
      </c>
      <c r="AU180" s="626"/>
      <c r="AV180" s="626"/>
      <c r="AW180" s="626"/>
      <c r="AX180" s="626"/>
      <c r="AY180" s="626"/>
      <c r="AZ180" s="626"/>
      <c r="BA180" s="555"/>
    </row>
    <row r="181" spans="1:53" ht="15.75" customHeight="1">
      <c r="A181" s="738"/>
      <c r="B181" s="705" t="s">
        <v>43</v>
      </c>
      <c r="C181" s="2722" t="str">
        <f>FIXED(SUM(AZ185:AZ204)/$C183,1)&amp;" EBC"</f>
        <v>44.1 EBC</v>
      </c>
      <c r="D181" s="3334">
        <v>40</v>
      </c>
      <c r="E181" s="5255"/>
      <c r="F181" s="5258"/>
      <c r="G181" s="2692" t="str">
        <f>'Beer Data Sheet'!$Y13</f>
        <v>First Gold</v>
      </c>
      <c r="H181" s="2693">
        <f>'Beer Data Sheet'!$Z13</f>
        <v>7.9</v>
      </c>
      <c r="I181" s="3314"/>
      <c r="J181" s="3315"/>
      <c r="K181" s="3315"/>
      <c r="L181" s="3312"/>
      <c r="M181" s="3315"/>
      <c r="N181" s="3316"/>
      <c r="O181" s="3317">
        <f t="shared" si="83"/>
        <v>0</v>
      </c>
      <c r="P181" s="3298">
        <f t="shared" si="83"/>
        <v>0</v>
      </c>
      <c r="Q181" s="3298">
        <f t="shared" si="83"/>
        <v>0</v>
      </c>
      <c r="R181" s="3298">
        <f>L181</f>
        <v>0</v>
      </c>
      <c r="S181" s="3298">
        <f>M181</f>
        <v>0</v>
      </c>
      <c r="T181" s="3318">
        <f t="shared" si="83"/>
        <v>0</v>
      </c>
      <c r="U181" s="3309"/>
      <c r="V181" s="3310"/>
      <c r="W181" s="3310"/>
      <c r="X181" s="3310"/>
      <c r="Y181" s="3310"/>
      <c r="Z181" s="3311"/>
      <c r="AA181" s="2680" t="str">
        <f t="shared" si="84"/>
        <v>First Gold</v>
      </c>
      <c r="AB181" s="617"/>
      <c r="AC181" s="663">
        <f t="shared" si="87"/>
        <v>0</v>
      </c>
      <c r="AD181" s="663">
        <f t="shared" si="88"/>
        <v>0</v>
      </c>
      <c r="AE181" s="663">
        <f t="shared" si="89"/>
        <v>0</v>
      </c>
      <c r="AF181" s="663">
        <f t="shared" si="90"/>
        <v>0</v>
      </c>
      <c r="AG181" s="663">
        <f t="shared" si="91"/>
        <v>0</v>
      </c>
      <c r="AH181" s="663">
        <f t="shared" si="92"/>
        <v>0</v>
      </c>
      <c r="AI181" s="739">
        <f t="shared" si="93"/>
        <v>0</v>
      </c>
      <c r="AJ181" s="663">
        <f t="shared" si="94"/>
        <v>0</v>
      </c>
      <c r="AK181" s="663">
        <f t="shared" si="95"/>
        <v>0</v>
      </c>
      <c r="AL181" s="663">
        <f t="shared" si="96"/>
        <v>0</v>
      </c>
      <c r="AM181" s="663">
        <f t="shared" si="97"/>
        <v>0</v>
      </c>
      <c r="AN181" s="663">
        <f t="shared" si="98"/>
        <v>0</v>
      </c>
      <c r="AO181" s="739">
        <f t="shared" si="99"/>
        <v>0</v>
      </c>
      <c r="AP181" s="663">
        <f t="shared" si="100"/>
        <v>0</v>
      </c>
      <c r="AQ181" s="663">
        <f t="shared" si="101"/>
        <v>0</v>
      </c>
      <c r="AR181" s="663">
        <f t="shared" si="102"/>
        <v>0</v>
      </c>
      <c r="AS181" s="663">
        <f t="shared" si="103"/>
        <v>0</v>
      </c>
      <c r="AT181" s="663">
        <f t="shared" si="104"/>
        <v>0</v>
      </c>
      <c r="AU181" s="626"/>
      <c r="AV181" s="626"/>
      <c r="AW181" s="626"/>
      <c r="AX181" s="626"/>
      <c r="AY181" s="626"/>
      <c r="AZ181" s="626"/>
      <c r="BA181" s="555"/>
    </row>
    <row r="182" spans="1:53" ht="15.75" customHeight="1">
      <c r="A182" s="738"/>
      <c r="B182" s="811"/>
      <c r="C182" s="2333" t="str">
        <f>"≈ "&amp;FIXED(0.508*SUM(AZ185:AZ205)/$C183,1)&amp;" SRM"</f>
        <v>≈ 22.4 SRM</v>
      </c>
      <c r="D182" s="3788" t="str">
        <f>"≈ "&amp;FIXED((0.508*D181),1)&amp;" SRM"</f>
        <v>≈ 20.3 SRM</v>
      </c>
      <c r="E182" s="5256"/>
      <c r="F182" s="5259"/>
      <c r="G182" s="2692" t="str">
        <f>'Beer Data Sheet'!$Y14</f>
        <v>Fuggles</v>
      </c>
      <c r="H182" s="2693">
        <f>'Beer Data Sheet'!$Z14</f>
        <v>4.5</v>
      </c>
      <c r="I182" s="3314"/>
      <c r="J182" s="3315"/>
      <c r="K182" s="3315"/>
      <c r="L182" s="3312"/>
      <c r="M182" s="3315"/>
      <c r="N182" s="3316"/>
      <c r="O182" s="3317">
        <f t="shared" si="83"/>
        <v>0</v>
      </c>
      <c r="P182" s="3298">
        <f t="shared" si="83"/>
        <v>0</v>
      </c>
      <c r="Q182" s="3298">
        <f t="shared" si="83"/>
        <v>0</v>
      </c>
      <c r="R182" s="3298">
        <f t="shared" si="83"/>
        <v>0</v>
      </c>
      <c r="S182" s="3298">
        <f t="shared" si="83"/>
        <v>0</v>
      </c>
      <c r="T182" s="3318">
        <f t="shared" si="83"/>
        <v>0</v>
      </c>
      <c r="U182" s="3309"/>
      <c r="V182" s="3310"/>
      <c r="W182" s="3310"/>
      <c r="X182" s="3310"/>
      <c r="Y182" s="3310"/>
      <c r="Z182" s="3311"/>
      <c r="AA182" s="2680" t="str">
        <f t="shared" si="84"/>
        <v>Fuggles</v>
      </c>
      <c r="AB182" s="617"/>
      <c r="AC182" s="663">
        <f t="shared" si="87"/>
        <v>0</v>
      </c>
      <c r="AD182" s="663">
        <f t="shared" si="88"/>
        <v>0</v>
      </c>
      <c r="AE182" s="663">
        <f t="shared" si="89"/>
        <v>0</v>
      </c>
      <c r="AF182" s="663">
        <f t="shared" si="90"/>
        <v>0</v>
      </c>
      <c r="AG182" s="663">
        <f t="shared" si="91"/>
        <v>0</v>
      </c>
      <c r="AH182" s="663">
        <f t="shared" si="92"/>
        <v>0</v>
      </c>
      <c r="AI182" s="739">
        <f t="shared" si="93"/>
        <v>0</v>
      </c>
      <c r="AJ182" s="663">
        <f t="shared" si="94"/>
        <v>0</v>
      </c>
      <c r="AK182" s="663">
        <f t="shared" si="95"/>
        <v>0</v>
      </c>
      <c r="AL182" s="663">
        <f t="shared" si="96"/>
        <v>0</v>
      </c>
      <c r="AM182" s="663">
        <f t="shared" si="97"/>
        <v>0</v>
      </c>
      <c r="AN182" s="663">
        <f t="shared" si="98"/>
        <v>0</v>
      </c>
      <c r="AO182" s="739">
        <f t="shared" si="99"/>
        <v>0</v>
      </c>
      <c r="AP182" s="663">
        <f t="shared" si="100"/>
        <v>0</v>
      </c>
      <c r="AQ182" s="663">
        <f t="shared" si="101"/>
        <v>0</v>
      </c>
      <c r="AR182" s="663">
        <f t="shared" si="102"/>
        <v>0</v>
      </c>
      <c r="AS182" s="663">
        <f t="shared" si="103"/>
        <v>0</v>
      </c>
      <c r="AT182" s="663">
        <f t="shared" si="104"/>
        <v>0</v>
      </c>
      <c r="AU182" s="697"/>
      <c r="AV182" s="697"/>
      <c r="AW182" s="697"/>
      <c r="AX182" s="697"/>
      <c r="AY182" s="697"/>
      <c r="AZ182" s="697"/>
      <c r="BA182" s="555"/>
    </row>
    <row r="183" spans="1:53" ht="15.75" customHeight="1">
      <c r="A183" s="738"/>
      <c r="B183" s="812" t="s">
        <v>4</v>
      </c>
      <c r="C183" s="2334">
        <v>23</v>
      </c>
      <c r="D183" s="5211" t="str">
        <f>"litres ≈ "&amp;FIXED(C183*1.76,2)&amp;" UK pt ≈ "&amp;FIXED(C183*1.76*6/5,2)&amp;" US pt"</f>
        <v>litres ≈ 40.48 UK pt ≈ 48.58 US pt</v>
      </c>
      <c r="E183" s="5211"/>
      <c r="F183" s="5212"/>
      <c r="G183" s="2692" t="str">
        <f>'Beer Data Sheet'!$Y15</f>
        <v>Goldings (Worc.)</v>
      </c>
      <c r="H183" s="2693">
        <f>'Beer Data Sheet'!$Z15</f>
        <v>5</v>
      </c>
      <c r="I183" s="3303"/>
      <c r="J183" s="3312"/>
      <c r="K183" s="3312"/>
      <c r="L183" s="3312"/>
      <c r="M183" s="3312"/>
      <c r="N183" s="3305"/>
      <c r="O183" s="3317">
        <f t="shared" si="83"/>
        <v>0</v>
      </c>
      <c r="P183" s="3298">
        <f t="shared" si="83"/>
        <v>0</v>
      </c>
      <c r="Q183" s="3298">
        <f t="shared" si="83"/>
        <v>0</v>
      </c>
      <c r="R183" s="3298">
        <f t="shared" si="83"/>
        <v>0</v>
      </c>
      <c r="S183" s="3298">
        <f t="shared" si="83"/>
        <v>0</v>
      </c>
      <c r="T183" s="3318">
        <f>N183</f>
        <v>0</v>
      </c>
      <c r="U183" s="3309"/>
      <c r="V183" s="3310"/>
      <c r="W183" s="3310"/>
      <c r="X183" s="3310"/>
      <c r="Y183" s="3310"/>
      <c r="Z183" s="3311"/>
      <c r="AA183" s="2680" t="str">
        <f t="shared" si="84"/>
        <v>Goldings (Worc.)</v>
      </c>
      <c r="AB183" s="617"/>
      <c r="AC183" s="663">
        <f t="shared" si="87"/>
        <v>0</v>
      </c>
      <c r="AD183" s="663">
        <f t="shared" si="88"/>
        <v>0</v>
      </c>
      <c r="AE183" s="663">
        <f t="shared" si="89"/>
        <v>0</v>
      </c>
      <c r="AF183" s="663">
        <f t="shared" si="90"/>
        <v>0</v>
      </c>
      <c r="AG183" s="663">
        <f t="shared" si="91"/>
        <v>0</v>
      </c>
      <c r="AH183" s="663">
        <f t="shared" si="92"/>
        <v>0</v>
      </c>
      <c r="AI183" s="739">
        <f t="shared" si="93"/>
        <v>0</v>
      </c>
      <c r="AJ183" s="663">
        <f t="shared" si="94"/>
        <v>0</v>
      </c>
      <c r="AK183" s="663">
        <f t="shared" si="95"/>
        <v>0</v>
      </c>
      <c r="AL183" s="663">
        <f t="shared" si="96"/>
        <v>0</v>
      </c>
      <c r="AM183" s="663">
        <f t="shared" si="97"/>
        <v>0</v>
      </c>
      <c r="AN183" s="663">
        <f t="shared" si="98"/>
        <v>0</v>
      </c>
      <c r="AO183" s="739">
        <f t="shared" si="99"/>
        <v>0</v>
      </c>
      <c r="AP183" s="663">
        <f t="shared" si="100"/>
        <v>0</v>
      </c>
      <c r="AQ183" s="663">
        <f t="shared" si="101"/>
        <v>0</v>
      </c>
      <c r="AR183" s="663">
        <f t="shared" si="102"/>
        <v>0</v>
      </c>
      <c r="AS183" s="663">
        <f t="shared" si="103"/>
        <v>0</v>
      </c>
      <c r="AT183" s="663">
        <f t="shared" si="104"/>
        <v>0</v>
      </c>
      <c r="AU183" s="2484" t="s">
        <v>333</v>
      </c>
      <c r="AV183" s="697" t="s">
        <v>334</v>
      </c>
      <c r="AW183" s="697" t="s">
        <v>335</v>
      </c>
      <c r="AX183" s="2485" t="s">
        <v>44</v>
      </c>
      <c r="AY183" s="697" t="s">
        <v>336</v>
      </c>
      <c r="AZ183" s="697" t="s">
        <v>335</v>
      </c>
      <c r="BA183" s="555"/>
    </row>
    <row r="184" spans="1:53" ht="15.75" customHeight="1">
      <c r="A184" s="764"/>
      <c r="B184" s="813" t="s">
        <v>330</v>
      </c>
      <c r="C184" s="2217" t="s">
        <v>331</v>
      </c>
      <c r="D184" s="2757" t="s">
        <v>73</v>
      </c>
      <c r="E184" s="2758" t="s">
        <v>74</v>
      </c>
      <c r="F184" s="2759" t="s">
        <v>75</v>
      </c>
      <c r="G184" s="2692" t="str">
        <f>'Beer Data Sheet'!$Y16</f>
        <v>Hallertauer ("German")</v>
      </c>
      <c r="H184" s="2693">
        <f>'Beer Data Sheet'!$Z16</f>
        <v>2</v>
      </c>
      <c r="I184" s="3303"/>
      <c r="J184" s="3312"/>
      <c r="K184" s="3312"/>
      <c r="L184" s="3312"/>
      <c r="M184" s="3312"/>
      <c r="N184" s="3305"/>
      <c r="O184" s="3317">
        <f t="shared" si="83"/>
        <v>0</v>
      </c>
      <c r="P184" s="3298">
        <f t="shared" si="83"/>
        <v>0</v>
      </c>
      <c r="Q184" s="3298">
        <f t="shared" si="83"/>
        <v>0</v>
      </c>
      <c r="R184" s="3298">
        <f t="shared" si="83"/>
        <v>0</v>
      </c>
      <c r="S184" s="3298">
        <f t="shared" si="83"/>
        <v>0</v>
      </c>
      <c r="T184" s="3318">
        <f t="shared" si="83"/>
        <v>0</v>
      </c>
      <c r="U184" s="3309"/>
      <c r="V184" s="3310"/>
      <c r="W184" s="3310"/>
      <c r="X184" s="3310"/>
      <c r="Y184" s="3310"/>
      <c r="Z184" s="3311"/>
      <c r="AA184" s="2680" t="str">
        <f t="shared" si="84"/>
        <v>Hallertauer ("German")</v>
      </c>
      <c r="AB184" s="617"/>
      <c r="AC184" s="663">
        <f t="shared" si="87"/>
        <v>0</v>
      </c>
      <c r="AD184" s="663">
        <f t="shared" si="88"/>
        <v>0</v>
      </c>
      <c r="AE184" s="663">
        <f t="shared" si="89"/>
        <v>0</v>
      </c>
      <c r="AF184" s="663">
        <f t="shared" si="90"/>
        <v>0</v>
      </c>
      <c r="AG184" s="663">
        <f t="shared" si="91"/>
        <v>0</v>
      </c>
      <c r="AH184" s="663">
        <f t="shared" si="92"/>
        <v>0</v>
      </c>
      <c r="AI184" s="739">
        <f t="shared" si="93"/>
        <v>0</v>
      </c>
      <c r="AJ184" s="663">
        <f t="shared" si="94"/>
        <v>0</v>
      </c>
      <c r="AK184" s="663">
        <f t="shared" si="95"/>
        <v>0</v>
      </c>
      <c r="AL184" s="663">
        <f t="shared" si="96"/>
        <v>0</v>
      </c>
      <c r="AM184" s="663">
        <f t="shared" si="97"/>
        <v>0</v>
      </c>
      <c r="AN184" s="663">
        <f t="shared" si="98"/>
        <v>0</v>
      </c>
      <c r="AO184" s="739">
        <f t="shared" si="99"/>
        <v>0</v>
      </c>
      <c r="AP184" s="663">
        <f t="shared" si="100"/>
        <v>0</v>
      </c>
      <c r="AQ184" s="663">
        <f t="shared" si="101"/>
        <v>0</v>
      </c>
      <c r="AR184" s="663">
        <f t="shared" si="102"/>
        <v>0</v>
      </c>
      <c r="AS184" s="663">
        <f t="shared" si="103"/>
        <v>0</v>
      </c>
      <c r="AT184" s="663">
        <f t="shared" si="104"/>
        <v>0</v>
      </c>
      <c r="AU184" s="2486"/>
      <c r="AV184" s="692"/>
      <c r="AW184" s="692"/>
      <c r="AX184" s="2486"/>
      <c r="AY184" s="692"/>
      <c r="AZ184" s="692"/>
      <c r="BA184" s="453"/>
    </row>
    <row r="185" spans="1:53" ht="15.75" customHeight="1">
      <c r="A185" s="5213" t="s">
        <v>730</v>
      </c>
      <c r="B185" s="3576" t="str">
        <f>'Beer Data Sheet'!Y42</f>
        <v>Pale malt</v>
      </c>
      <c r="C185" s="2335"/>
      <c r="D185" s="814" t="s">
        <v>40</v>
      </c>
      <c r="E185" s="2340">
        <f>100*(C185/$E$207)</f>
        <v>0</v>
      </c>
      <c r="F185" s="2341">
        <f>AX185*100/F$207</f>
        <v>0</v>
      </c>
      <c r="G185" s="2692" t="str">
        <f>'Beer Data Sheet'!$Y17</f>
        <v>Hallertauer ("Pacific")</v>
      </c>
      <c r="H185" s="2693">
        <f>'Beer Data Sheet'!$Z17</f>
        <v>6.7</v>
      </c>
      <c r="I185" s="3303">
        <v>40</v>
      </c>
      <c r="J185" s="3312"/>
      <c r="K185" s="3312"/>
      <c r="L185" s="3312"/>
      <c r="M185" s="3312">
        <v>8.6999999999999993</v>
      </c>
      <c r="N185" s="3305"/>
      <c r="O185" s="3317">
        <f t="shared" si="83"/>
        <v>40</v>
      </c>
      <c r="P185" s="3298">
        <f t="shared" si="83"/>
        <v>0</v>
      </c>
      <c r="Q185" s="3298">
        <f t="shared" si="83"/>
        <v>0</v>
      </c>
      <c r="R185" s="3298">
        <f t="shared" si="83"/>
        <v>0</v>
      </c>
      <c r="S185" s="3298">
        <f t="shared" si="83"/>
        <v>8.6999999999999993</v>
      </c>
      <c r="T185" s="3318">
        <f t="shared" si="83"/>
        <v>0</v>
      </c>
      <c r="U185" s="3309">
        <v>24</v>
      </c>
      <c r="V185" s="3310"/>
      <c r="W185" s="3310"/>
      <c r="X185" s="3310"/>
      <c r="Y185" s="3312">
        <v>5</v>
      </c>
      <c r="Z185" s="3311"/>
      <c r="AA185" s="2680" t="str">
        <f t="shared" si="84"/>
        <v>Hallertauer ("Pacific")</v>
      </c>
      <c r="AB185" s="617"/>
      <c r="AC185" s="663">
        <f t="shared" si="87"/>
        <v>268</v>
      </c>
      <c r="AD185" s="663">
        <f t="shared" si="88"/>
        <v>0</v>
      </c>
      <c r="AE185" s="663">
        <f t="shared" si="89"/>
        <v>0</v>
      </c>
      <c r="AF185" s="663">
        <f t="shared" si="90"/>
        <v>0</v>
      </c>
      <c r="AG185" s="663">
        <f t="shared" si="91"/>
        <v>58.29</v>
      </c>
      <c r="AH185" s="663">
        <f t="shared" si="92"/>
        <v>0</v>
      </c>
      <c r="AI185" s="739">
        <f t="shared" si="93"/>
        <v>268</v>
      </c>
      <c r="AJ185" s="663">
        <f t="shared" si="94"/>
        <v>0</v>
      </c>
      <c r="AK185" s="663">
        <f t="shared" si="95"/>
        <v>0</v>
      </c>
      <c r="AL185" s="663">
        <f t="shared" si="96"/>
        <v>0</v>
      </c>
      <c r="AM185" s="663">
        <f t="shared" si="97"/>
        <v>58.29</v>
      </c>
      <c r="AN185" s="663">
        <f t="shared" si="98"/>
        <v>0</v>
      </c>
      <c r="AO185" s="739">
        <f t="shared" si="99"/>
        <v>160.80000000000001</v>
      </c>
      <c r="AP185" s="663">
        <f t="shared" si="100"/>
        <v>0</v>
      </c>
      <c r="AQ185" s="663">
        <f t="shared" si="101"/>
        <v>0</v>
      </c>
      <c r="AR185" s="663">
        <f t="shared" si="102"/>
        <v>0</v>
      </c>
      <c r="AS185" s="663">
        <f t="shared" si="103"/>
        <v>33.5</v>
      </c>
      <c r="AT185" s="663">
        <f t="shared" si="104"/>
        <v>0</v>
      </c>
      <c r="AU185" s="725">
        <f>'Beer Data Sheet'!Z42*$L$8/100</f>
        <v>225</v>
      </c>
      <c r="AV185" s="2487">
        <f>C$208/100</f>
        <v>0.75</v>
      </c>
      <c r="AW185" s="721">
        <f>'Beer Data Sheet'!AD42</f>
        <v>4.0999999999999996</v>
      </c>
      <c r="AX185" s="725">
        <f t="shared" ref="AX185:AX204" si="105">0.001*AU185*C185</f>
        <v>0</v>
      </c>
      <c r="AY185" s="695">
        <f t="shared" ref="AY185:AY204" si="106">AX185*AV185</f>
        <v>0</v>
      </c>
      <c r="AZ185" s="695">
        <f t="shared" ref="AZ185:AZ204" si="107">0.01*AW185*C185</f>
        <v>0</v>
      </c>
      <c r="BA185" s="453"/>
    </row>
    <row r="186" spans="1:53" ht="15.75" customHeight="1">
      <c r="A186" s="5214"/>
      <c r="B186" s="2688" t="str">
        <f>'Beer Data Sheet'!Y43</f>
        <v>Lager malt (Pilsner)</v>
      </c>
      <c r="C186" s="2336">
        <v>4800</v>
      </c>
      <c r="D186" s="816" t="s">
        <v>40</v>
      </c>
      <c r="E186" s="2342">
        <f t="shared" ref="E186:E204" si="108">100*(C186/$E$207)</f>
        <v>95.145592578643786</v>
      </c>
      <c r="F186" s="2342">
        <f t="shared" ref="F186:F204" si="109">AX186*100/F$207</f>
        <v>93.570291432470185</v>
      </c>
      <c r="G186" s="3834" t="str">
        <f>'Beer Data Sheet'!$Y18</f>
        <v>Liberty</v>
      </c>
      <c r="H186" s="3835">
        <f>'Beer Data Sheet'!$Z18</f>
        <v>4</v>
      </c>
      <c r="I186" s="3303"/>
      <c r="J186" s="3312"/>
      <c r="K186" s="3312"/>
      <c r="L186" s="3312"/>
      <c r="M186" s="3312"/>
      <c r="N186" s="3305"/>
      <c r="O186" s="3317">
        <f t="shared" si="83"/>
        <v>0</v>
      </c>
      <c r="P186" s="3298">
        <f t="shared" si="83"/>
        <v>0</v>
      </c>
      <c r="Q186" s="3298">
        <f t="shared" si="83"/>
        <v>0</v>
      </c>
      <c r="R186" s="3298">
        <f t="shared" si="83"/>
        <v>0</v>
      </c>
      <c r="S186" s="3298">
        <f t="shared" si="83"/>
        <v>0</v>
      </c>
      <c r="T186" s="3318">
        <f t="shared" si="83"/>
        <v>0</v>
      </c>
      <c r="U186" s="3309"/>
      <c r="V186" s="3310"/>
      <c r="W186" s="3310"/>
      <c r="X186" s="3310"/>
      <c r="Y186" s="3310"/>
      <c r="Z186" s="3311"/>
      <c r="AA186" s="2680" t="str">
        <f t="shared" si="84"/>
        <v>Liberty</v>
      </c>
      <c r="AB186" s="617"/>
      <c r="AC186" s="663">
        <f t="shared" si="87"/>
        <v>0</v>
      </c>
      <c r="AD186" s="663">
        <f t="shared" si="88"/>
        <v>0</v>
      </c>
      <c r="AE186" s="663">
        <f t="shared" si="89"/>
        <v>0</v>
      </c>
      <c r="AF186" s="663">
        <f t="shared" si="90"/>
        <v>0</v>
      </c>
      <c r="AG186" s="663">
        <f t="shared" si="91"/>
        <v>0</v>
      </c>
      <c r="AH186" s="663">
        <f t="shared" si="92"/>
        <v>0</v>
      </c>
      <c r="AI186" s="739">
        <f t="shared" si="93"/>
        <v>0</v>
      </c>
      <c r="AJ186" s="663">
        <f t="shared" si="94"/>
        <v>0</v>
      </c>
      <c r="AK186" s="663">
        <f t="shared" si="95"/>
        <v>0</v>
      </c>
      <c r="AL186" s="663">
        <f t="shared" si="96"/>
        <v>0</v>
      </c>
      <c r="AM186" s="663">
        <f t="shared" si="97"/>
        <v>0</v>
      </c>
      <c r="AN186" s="663">
        <f t="shared" si="98"/>
        <v>0</v>
      </c>
      <c r="AO186" s="739">
        <f t="shared" si="99"/>
        <v>0</v>
      </c>
      <c r="AP186" s="663">
        <f t="shared" si="100"/>
        <v>0</v>
      </c>
      <c r="AQ186" s="663">
        <f t="shared" si="101"/>
        <v>0</v>
      </c>
      <c r="AR186" s="663">
        <f t="shared" si="102"/>
        <v>0</v>
      </c>
      <c r="AS186" s="663">
        <f t="shared" si="103"/>
        <v>0</v>
      </c>
      <c r="AT186" s="663">
        <f t="shared" si="104"/>
        <v>0</v>
      </c>
      <c r="AU186" s="725">
        <f>'Beer Data Sheet'!Z43*$L$8/100</f>
        <v>225</v>
      </c>
      <c r="AV186" s="2487">
        <f>C$208/100</f>
        <v>0.75</v>
      </c>
      <c r="AW186" s="721">
        <f>'Beer Data Sheet'!AD43</f>
        <v>2.2000000000000002</v>
      </c>
      <c r="AX186" s="725">
        <f t="shared" si="105"/>
        <v>1080</v>
      </c>
      <c r="AY186" s="695">
        <f t="shared" si="106"/>
        <v>810</v>
      </c>
      <c r="AZ186" s="695">
        <f t="shared" si="107"/>
        <v>105.60000000000001</v>
      </c>
      <c r="BA186" s="453"/>
    </row>
    <row r="187" spans="1:53" ht="15.75" customHeight="1">
      <c r="A187" s="5214"/>
      <c r="B187" s="2688" t="str">
        <f>'Beer Data Sheet'!Y44</f>
        <v>Mild Ale malt</v>
      </c>
      <c r="C187" s="2336"/>
      <c r="D187" s="816" t="s">
        <v>40</v>
      </c>
      <c r="E187" s="2342">
        <f t="shared" si="108"/>
        <v>0</v>
      </c>
      <c r="F187" s="2342">
        <f t="shared" si="109"/>
        <v>0</v>
      </c>
      <c r="G187" s="3834" t="str">
        <f>'Beer Data Sheet'!$Y19</f>
        <v>Lublin</v>
      </c>
      <c r="H187" s="3835">
        <f>'Beer Data Sheet'!$Z19</f>
        <v>3</v>
      </c>
      <c r="I187" s="3303"/>
      <c r="J187" s="3312"/>
      <c r="K187" s="3312"/>
      <c r="L187" s="3312"/>
      <c r="M187" s="3312"/>
      <c r="N187" s="3305"/>
      <c r="O187" s="3317">
        <f t="shared" si="83"/>
        <v>0</v>
      </c>
      <c r="P187" s="3298">
        <f t="shared" si="83"/>
        <v>0</v>
      </c>
      <c r="Q187" s="3298">
        <f t="shared" si="83"/>
        <v>0</v>
      </c>
      <c r="R187" s="3298">
        <f t="shared" si="83"/>
        <v>0</v>
      </c>
      <c r="S187" s="3298">
        <f t="shared" si="83"/>
        <v>0</v>
      </c>
      <c r="T187" s="3318">
        <f t="shared" si="83"/>
        <v>0</v>
      </c>
      <c r="U187" s="3309"/>
      <c r="V187" s="3310"/>
      <c r="W187" s="3310"/>
      <c r="X187" s="3310"/>
      <c r="Y187" s="3310"/>
      <c r="Z187" s="3311"/>
      <c r="AA187" s="2680" t="str">
        <f t="shared" si="84"/>
        <v>Lublin</v>
      </c>
      <c r="AB187" s="617"/>
      <c r="AC187" s="663">
        <f t="shared" si="87"/>
        <v>0</v>
      </c>
      <c r="AD187" s="663">
        <f t="shared" si="88"/>
        <v>0</v>
      </c>
      <c r="AE187" s="663">
        <f t="shared" si="89"/>
        <v>0</v>
      </c>
      <c r="AF187" s="663">
        <f t="shared" si="90"/>
        <v>0</v>
      </c>
      <c r="AG187" s="663">
        <f t="shared" si="91"/>
        <v>0</v>
      </c>
      <c r="AH187" s="663">
        <f t="shared" si="92"/>
        <v>0</v>
      </c>
      <c r="AI187" s="739">
        <f t="shared" si="93"/>
        <v>0</v>
      </c>
      <c r="AJ187" s="663">
        <f t="shared" si="94"/>
        <v>0</v>
      </c>
      <c r="AK187" s="663">
        <f t="shared" si="95"/>
        <v>0</v>
      </c>
      <c r="AL187" s="663">
        <f t="shared" si="96"/>
        <v>0</v>
      </c>
      <c r="AM187" s="663">
        <f t="shared" si="97"/>
        <v>0</v>
      </c>
      <c r="AN187" s="663">
        <f t="shared" si="98"/>
        <v>0</v>
      </c>
      <c r="AO187" s="739">
        <f t="shared" si="99"/>
        <v>0</v>
      </c>
      <c r="AP187" s="663">
        <f t="shared" si="100"/>
        <v>0</v>
      </c>
      <c r="AQ187" s="663">
        <f t="shared" si="101"/>
        <v>0</v>
      </c>
      <c r="AR187" s="663">
        <f t="shared" si="102"/>
        <v>0</v>
      </c>
      <c r="AS187" s="663">
        <f t="shared" si="103"/>
        <v>0</v>
      </c>
      <c r="AT187" s="663">
        <f t="shared" si="104"/>
        <v>0</v>
      </c>
      <c r="AU187" s="725">
        <f>'Beer Data Sheet'!Z44*$L$8/100</f>
        <v>221.25</v>
      </c>
      <c r="AV187" s="2487">
        <f>C$208/100</f>
        <v>0.75</v>
      </c>
      <c r="AW187" s="721">
        <f>'Beer Data Sheet'!AD44</f>
        <v>4.97</v>
      </c>
      <c r="AX187" s="725">
        <f t="shared" si="105"/>
        <v>0</v>
      </c>
      <c r="AY187" s="695">
        <f t="shared" si="106"/>
        <v>0</v>
      </c>
      <c r="AZ187" s="695">
        <f t="shared" si="107"/>
        <v>0</v>
      </c>
      <c r="BA187" s="453"/>
    </row>
    <row r="188" spans="1:53" ht="15.75" customHeight="1">
      <c r="A188" s="5214"/>
      <c r="B188" s="2688" t="str">
        <f>'Beer Data Sheet'!Y45</f>
        <v xml:space="preserve">Flaked ̸ Torrified barley </v>
      </c>
      <c r="C188" s="2336"/>
      <c r="D188" s="816" t="s">
        <v>40</v>
      </c>
      <c r="E188" s="2342">
        <f t="shared" si="108"/>
        <v>0</v>
      </c>
      <c r="F188" s="2342">
        <f t="shared" si="109"/>
        <v>0</v>
      </c>
      <c r="G188" s="3834" t="str">
        <f>'Beer Data Sheet'!$Y20</f>
        <v>Magnum</v>
      </c>
      <c r="H188" s="3835">
        <f>'Beer Data Sheet'!$Z20</f>
        <v>13</v>
      </c>
      <c r="I188" s="3303"/>
      <c r="J188" s="3312"/>
      <c r="K188" s="3312"/>
      <c r="L188" s="3312"/>
      <c r="M188" s="3312"/>
      <c r="N188" s="3305"/>
      <c r="O188" s="3317">
        <f t="shared" si="83"/>
        <v>0</v>
      </c>
      <c r="P188" s="3298">
        <f t="shared" si="83"/>
        <v>0</v>
      </c>
      <c r="Q188" s="3298">
        <f t="shared" si="83"/>
        <v>0</v>
      </c>
      <c r="R188" s="3298">
        <f t="shared" si="83"/>
        <v>0</v>
      </c>
      <c r="S188" s="3298">
        <f t="shared" si="83"/>
        <v>0</v>
      </c>
      <c r="T188" s="3318">
        <f t="shared" si="83"/>
        <v>0</v>
      </c>
      <c r="U188" s="3309"/>
      <c r="V188" s="3310"/>
      <c r="W188" s="3310"/>
      <c r="X188" s="3310"/>
      <c r="Y188" s="3310"/>
      <c r="Z188" s="3311"/>
      <c r="AA188" s="2680" t="str">
        <f t="shared" si="84"/>
        <v>Magnum</v>
      </c>
      <c r="AB188" s="617"/>
      <c r="AC188" s="663">
        <f t="shared" si="87"/>
        <v>0</v>
      </c>
      <c r="AD188" s="663">
        <f t="shared" si="88"/>
        <v>0</v>
      </c>
      <c r="AE188" s="663">
        <f t="shared" si="89"/>
        <v>0</v>
      </c>
      <c r="AF188" s="663">
        <f t="shared" si="90"/>
        <v>0</v>
      </c>
      <c r="AG188" s="663">
        <f t="shared" si="91"/>
        <v>0</v>
      </c>
      <c r="AH188" s="663">
        <f t="shared" si="92"/>
        <v>0</v>
      </c>
      <c r="AI188" s="739">
        <f t="shared" si="93"/>
        <v>0</v>
      </c>
      <c r="AJ188" s="663">
        <f t="shared" si="94"/>
        <v>0</v>
      </c>
      <c r="AK188" s="663">
        <f t="shared" si="95"/>
        <v>0</v>
      </c>
      <c r="AL188" s="663">
        <f t="shared" si="96"/>
        <v>0</v>
      </c>
      <c r="AM188" s="663">
        <f t="shared" si="97"/>
        <v>0</v>
      </c>
      <c r="AN188" s="663">
        <f t="shared" si="98"/>
        <v>0</v>
      </c>
      <c r="AO188" s="739">
        <f t="shared" si="99"/>
        <v>0</v>
      </c>
      <c r="AP188" s="663">
        <f t="shared" si="100"/>
        <v>0</v>
      </c>
      <c r="AQ188" s="663">
        <f t="shared" si="101"/>
        <v>0</v>
      </c>
      <c r="AR188" s="663">
        <f t="shared" si="102"/>
        <v>0</v>
      </c>
      <c r="AS188" s="663">
        <f t="shared" si="103"/>
        <v>0</v>
      </c>
      <c r="AT188" s="663">
        <f t="shared" si="104"/>
        <v>0</v>
      </c>
      <c r="AU188" s="725">
        <f>'Beer Data Sheet'!Z45*$L$8/100</f>
        <v>187.5</v>
      </c>
      <c r="AV188" s="2487">
        <f>C$208/100</f>
        <v>0.75</v>
      </c>
      <c r="AW188" s="721">
        <f>'Beer Data Sheet'!AD45</f>
        <v>2.13</v>
      </c>
      <c r="AX188" s="725">
        <f t="shared" si="105"/>
        <v>0</v>
      </c>
      <c r="AY188" s="695">
        <f t="shared" si="106"/>
        <v>0</v>
      </c>
      <c r="AZ188" s="695">
        <f t="shared" si="107"/>
        <v>0</v>
      </c>
      <c r="BA188" s="453"/>
    </row>
    <row r="189" spans="1:53" ht="15.75" customHeight="1">
      <c r="A189" s="5214"/>
      <c r="B189" s="2688" t="str">
        <f>'Beer Data Sheet'!Y46</f>
        <v>Wheat malt ̸ Malted wheat</v>
      </c>
      <c r="C189" s="2336"/>
      <c r="D189" s="816" t="s">
        <v>40</v>
      </c>
      <c r="E189" s="2342">
        <f t="shared" si="108"/>
        <v>0</v>
      </c>
      <c r="F189" s="2342">
        <f t="shared" si="109"/>
        <v>0</v>
      </c>
      <c r="G189" s="3834" t="str">
        <f>'Beer Data Sheet'!$Y21</f>
        <v>Northdown</v>
      </c>
      <c r="H189" s="3835">
        <f>'Beer Data Sheet'!$Z21</f>
        <v>8</v>
      </c>
      <c r="I189" s="3303"/>
      <c r="J189" s="3312"/>
      <c r="K189" s="3312"/>
      <c r="L189" s="3312"/>
      <c r="M189" s="3312"/>
      <c r="N189" s="3305"/>
      <c r="O189" s="3317">
        <f t="shared" si="83"/>
        <v>0</v>
      </c>
      <c r="P189" s="3298">
        <f t="shared" si="83"/>
        <v>0</v>
      </c>
      <c r="Q189" s="3298">
        <f t="shared" si="83"/>
        <v>0</v>
      </c>
      <c r="R189" s="3298">
        <f t="shared" si="83"/>
        <v>0</v>
      </c>
      <c r="S189" s="3298">
        <f t="shared" si="83"/>
        <v>0</v>
      </c>
      <c r="T189" s="3318">
        <f t="shared" si="83"/>
        <v>0</v>
      </c>
      <c r="U189" s="3309"/>
      <c r="V189" s="3310"/>
      <c r="W189" s="3310"/>
      <c r="X189" s="3310"/>
      <c r="Y189" s="3310"/>
      <c r="Z189" s="3311"/>
      <c r="AA189" s="2680" t="str">
        <f t="shared" si="84"/>
        <v>Northdown</v>
      </c>
      <c r="AB189" s="617"/>
      <c r="AC189" s="663">
        <f t="shared" si="87"/>
        <v>0</v>
      </c>
      <c r="AD189" s="663">
        <f t="shared" si="88"/>
        <v>0</v>
      </c>
      <c r="AE189" s="663">
        <f t="shared" si="89"/>
        <v>0</v>
      </c>
      <c r="AF189" s="663">
        <f t="shared" si="90"/>
        <v>0</v>
      </c>
      <c r="AG189" s="663">
        <f t="shared" si="91"/>
        <v>0</v>
      </c>
      <c r="AH189" s="663">
        <f t="shared" si="92"/>
        <v>0</v>
      </c>
      <c r="AI189" s="739">
        <f t="shared" si="93"/>
        <v>0</v>
      </c>
      <c r="AJ189" s="663">
        <f t="shared" si="94"/>
        <v>0</v>
      </c>
      <c r="AK189" s="663">
        <f t="shared" si="95"/>
        <v>0</v>
      </c>
      <c r="AL189" s="663">
        <f t="shared" si="96"/>
        <v>0</v>
      </c>
      <c r="AM189" s="663">
        <f t="shared" si="97"/>
        <v>0</v>
      </c>
      <c r="AN189" s="663">
        <f t="shared" si="98"/>
        <v>0</v>
      </c>
      <c r="AO189" s="739">
        <f t="shared" si="99"/>
        <v>0</v>
      </c>
      <c r="AP189" s="663">
        <f t="shared" si="100"/>
        <v>0</v>
      </c>
      <c r="AQ189" s="663">
        <f t="shared" si="101"/>
        <v>0</v>
      </c>
      <c r="AR189" s="663">
        <f t="shared" si="102"/>
        <v>0</v>
      </c>
      <c r="AS189" s="663">
        <f t="shared" si="103"/>
        <v>0</v>
      </c>
      <c r="AT189" s="663">
        <f t="shared" si="104"/>
        <v>0</v>
      </c>
      <c r="AU189" s="725">
        <f>'Beer Data Sheet'!Z46*$L$8/100</f>
        <v>228.75</v>
      </c>
      <c r="AV189" s="2487">
        <f>C$208/100</f>
        <v>0.75</v>
      </c>
      <c r="AW189" s="721">
        <f>'Beer Data Sheet'!AD46</f>
        <v>2.13</v>
      </c>
      <c r="AX189" s="725">
        <f t="shared" si="105"/>
        <v>0</v>
      </c>
      <c r="AY189" s="695">
        <f t="shared" si="106"/>
        <v>0</v>
      </c>
      <c r="AZ189" s="695">
        <f t="shared" si="107"/>
        <v>0</v>
      </c>
      <c r="BA189" s="453"/>
    </row>
    <row r="190" spans="1:53" ht="15.75" customHeight="1">
      <c r="A190" s="5214"/>
      <c r="B190" s="2688" t="str">
        <f>'Beer Data Sheet'!Y47</f>
        <v>Oats</v>
      </c>
      <c r="C190" s="2336"/>
      <c r="D190" s="816" t="s">
        <v>40</v>
      </c>
      <c r="E190" s="2342">
        <f t="shared" si="108"/>
        <v>0</v>
      </c>
      <c r="F190" s="2342">
        <f t="shared" si="109"/>
        <v>0</v>
      </c>
      <c r="G190" s="3834" t="str">
        <f>'Beer Data Sheet'!$Y22</f>
        <v>Progress</v>
      </c>
      <c r="H190" s="3835">
        <f>'Beer Data Sheet'!$Z22</f>
        <v>5</v>
      </c>
      <c r="I190" s="3303"/>
      <c r="J190" s="3312"/>
      <c r="K190" s="3312"/>
      <c r="L190" s="3312"/>
      <c r="M190" s="3312"/>
      <c r="N190" s="3305"/>
      <c r="O190" s="3317">
        <f t="shared" si="83"/>
        <v>0</v>
      </c>
      <c r="P190" s="3298">
        <f t="shared" si="83"/>
        <v>0</v>
      </c>
      <c r="Q190" s="3298">
        <f t="shared" si="83"/>
        <v>0</v>
      </c>
      <c r="R190" s="3298">
        <f t="shared" si="83"/>
        <v>0</v>
      </c>
      <c r="S190" s="3298">
        <f t="shared" si="83"/>
        <v>0</v>
      </c>
      <c r="T190" s="3318">
        <f t="shared" si="83"/>
        <v>0</v>
      </c>
      <c r="U190" s="3309"/>
      <c r="V190" s="3310"/>
      <c r="W190" s="3310"/>
      <c r="X190" s="3310"/>
      <c r="Y190" s="3310"/>
      <c r="Z190" s="3311"/>
      <c r="AA190" s="2680" t="str">
        <f t="shared" si="84"/>
        <v>Progress</v>
      </c>
      <c r="AB190" s="617"/>
      <c r="AC190" s="663">
        <f t="shared" si="87"/>
        <v>0</v>
      </c>
      <c r="AD190" s="663">
        <f t="shared" si="88"/>
        <v>0</v>
      </c>
      <c r="AE190" s="663">
        <f t="shared" si="89"/>
        <v>0</v>
      </c>
      <c r="AF190" s="663">
        <f t="shared" si="90"/>
        <v>0</v>
      </c>
      <c r="AG190" s="663">
        <f t="shared" si="91"/>
        <v>0</v>
      </c>
      <c r="AH190" s="663">
        <f t="shared" si="92"/>
        <v>0</v>
      </c>
      <c r="AI190" s="739">
        <f t="shared" si="93"/>
        <v>0</v>
      </c>
      <c r="AJ190" s="663">
        <f t="shared" si="94"/>
        <v>0</v>
      </c>
      <c r="AK190" s="663">
        <f t="shared" si="95"/>
        <v>0</v>
      </c>
      <c r="AL190" s="663">
        <f t="shared" si="96"/>
        <v>0</v>
      </c>
      <c r="AM190" s="663">
        <f t="shared" si="97"/>
        <v>0</v>
      </c>
      <c r="AN190" s="663">
        <f t="shared" si="98"/>
        <v>0</v>
      </c>
      <c r="AO190" s="739">
        <f t="shared" si="99"/>
        <v>0</v>
      </c>
      <c r="AP190" s="663">
        <f t="shared" si="100"/>
        <v>0</v>
      </c>
      <c r="AQ190" s="663">
        <f t="shared" si="101"/>
        <v>0</v>
      </c>
      <c r="AR190" s="663">
        <f t="shared" si="102"/>
        <v>0</v>
      </c>
      <c r="AS190" s="663">
        <f t="shared" si="103"/>
        <v>0</v>
      </c>
      <c r="AT190" s="663">
        <f t="shared" si="104"/>
        <v>0</v>
      </c>
      <c r="AU190" s="725">
        <f>'Beer Data Sheet'!Z47*$L$8/100</f>
        <v>187.5</v>
      </c>
      <c r="AV190" s="2487">
        <f t="shared" ref="AV190:AV199" si="110">C$208/100</f>
        <v>0.75</v>
      </c>
      <c r="AW190" s="721">
        <f>'Beer Data Sheet'!AD47</f>
        <v>1.0649999999999999</v>
      </c>
      <c r="AX190" s="725">
        <f t="shared" si="105"/>
        <v>0</v>
      </c>
      <c r="AY190" s="695">
        <f t="shared" si="106"/>
        <v>0</v>
      </c>
      <c r="AZ190" s="695">
        <f t="shared" si="107"/>
        <v>0</v>
      </c>
      <c r="BA190" s="453"/>
    </row>
    <row r="191" spans="1:53" ht="15.75" customHeight="1">
      <c r="A191" s="5215" t="s">
        <v>338</v>
      </c>
      <c r="B191" s="2689" t="str">
        <f>'Beer Data Sheet'!Y48</f>
        <v>Extract (LIQUID - light)</v>
      </c>
      <c r="C191" s="2336"/>
      <c r="D191" s="817" t="s">
        <v>40</v>
      </c>
      <c r="E191" s="2342">
        <f t="shared" si="108"/>
        <v>0</v>
      </c>
      <c r="F191" s="2342">
        <f t="shared" si="109"/>
        <v>0</v>
      </c>
      <c r="G191" s="3834" t="str">
        <f>'Beer Data Sheet'!$Y23</f>
        <v>Saaz</v>
      </c>
      <c r="H191" s="3835">
        <f>'Beer Data Sheet'!$Z23</f>
        <v>2.2000000000000002</v>
      </c>
      <c r="I191" s="3303"/>
      <c r="J191" s="3312"/>
      <c r="K191" s="3312"/>
      <c r="L191" s="3312"/>
      <c r="M191" s="3312"/>
      <c r="N191" s="3305"/>
      <c r="O191" s="3317">
        <f t="shared" si="83"/>
        <v>0</v>
      </c>
      <c r="P191" s="3298">
        <f t="shared" si="83"/>
        <v>0</v>
      </c>
      <c r="Q191" s="3298">
        <f t="shared" si="83"/>
        <v>0</v>
      </c>
      <c r="R191" s="3298">
        <f t="shared" si="83"/>
        <v>0</v>
      </c>
      <c r="S191" s="3298">
        <f t="shared" si="83"/>
        <v>0</v>
      </c>
      <c r="T191" s="3318">
        <f t="shared" si="83"/>
        <v>0</v>
      </c>
      <c r="U191" s="3309"/>
      <c r="V191" s="3310"/>
      <c r="W191" s="3310"/>
      <c r="X191" s="3310"/>
      <c r="Y191" s="3310"/>
      <c r="Z191" s="3311"/>
      <c r="AA191" s="2680" t="str">
        <f t="shared" si="84"/>
        <v>Saaz</v>
      </c>
      <c r="AB191" s="617"/>
      <c r="AC191" s="663">
        <f t="shared" si="87"/>
        <v>0</v>
      </c>
      <c r="AD191" s="663">
        <f t="shared" si="88"/>
        <v>0</v>
      </c>
      <c r="AE191" s="663">
        <f t="shared" si="89"/>
        <v>0</v>
      </c>
      <c r="AF191" s="663">
        <f t="shared" si="90"/>
        <v>0</v>
      </c>
      <c r="AG191" s="663">
        <f t="shared" si="91"/>
        <v>0</v>
      </c>
      <c r="AH191" s="663">
        <f t="shared" si="92"/>
        <v>0</v>
      </c>
      <c r="AI191" s="739">
        <f t="shared" si="93"/>
        <v>0</v>
      </c>
      <c r="AJ191" s="663">
        <f t="shared" si="94"/>
        <v>0</v>
      </c>
      <c r="AK191" s="663">
        <f t="shared" si="95"/>
        <v>0</v>
      </c>
      <c r="AL191" s="663">
        <f t="shared" si="96"/>
        <v>0</v>
      </c>
      <c r="AM191" s="663">
        <f t="shared" si="97"/>
        <v>0</v>
      </c>
      <c r="AN191" s="663">
        <f t="shared" si="98"/>
        <v>0</v>
      </c>
      <c r="AO191" s="739">
        <f t="shared" si="99"/>
        <v>0</v>
      </c>
      <c r="AP191" s="663">
        <f t="shared" si="100"/>
        <v>0</v>
      </c>
      <c r="AQ191" s="663">
        <f t="shared" si="101"/>
        <v>0</v>
      </c>
      <c r="AR191" s="663">
        <f t="shared" si="102"/>
        <v>0</v>
      </c>
      <c r="AS191" s="663">
        <f t="shared" si="103"/>
        <v>0</v>
      </c>
      <c r="AT191" s="663">
        <f t="shared" si="104"/>
        <v>0</v>
      </c>
      <c r="AU191" s="2656">
        <f>'Beer Data Sheet'!Z48</f>
        <v>310</v>
      </c>
      <c r="AV191" s="2487">
        <f t="shared" si="110"/>
        <v>0.75</v>
      </c>
      <c r="AW191" s="721">
        <f>'Beer Data Sheet'!AD48</f>
        <v>10</v>
      </c>
      <c r="AX191" s="725">
        <f t="shared" si="105"/>
        <v>0</v>
      </c>
      <c r="AY191" s="695">
        <f t="shared" si="106"/>
        <v>0</v>
      </c>
      <c r="AZ191" s="695">
        <f t="shared" si="107"/>
        <v>0</v>
      </c>
      <c r="BA191" s="453"/>
    </row>
    <row r="192" spans="1:53" ht="15.75" customHeight="1">
      <c r="A192" s="5215"/>
      <c r="B192" s="2689" t="str">
        <f>'Beer Data Sheet'!Y49</f>
        <v>Extract (DRY - light)</v>
      </c>
      <c r="C192" s="2336"/>
      <c r="D192" s="817" t="s">
        <v>40</v>
      </c>
      <c r="E192" s="2342">
        <f t="shared" si="108"/>
        <v>0</v>
      </c>
      <c r="F192" s="2342">
        <f t="shared" si="109"/>
        <v>0</v>
      </c>
      <c r="G192" s="3834" t="str">
        <f>'Beer Data Sheet'!$Y24</f>
        <v>Styrian Goldings</v>
      </c>
      <c r="H192" s="3835">
        <f>'Beer Data Sheet'!$Z24</f>
        <v>5.5</v>
      </c>
      <c r="I192" s="3468"/>
      <c r="J192" s="3312"/>
      <c r="K192" s="3312"/>
      <c r="L192" s="3312"/>
      <c r="M192" s="3312"/>
      <c r="N192" s="3305"/>
      <c r="O192" s="3317">
        <f t="shared" ref="O192:O199" si="111">I192</f>
        <v>0</v>
      </c>
      <c r="P192" s="3298">
        <f t="shared" ref="P192:P199" si="112">J192</f>
        <v>0</v>
      </c>
      <c r="Q192" s="3298">
        <f t="shared" ref="Q192:Q199" si="113">K192</f>
        <v>0</v>
      </c>
      <c r="R192" s="3298">
        <f t="shared" ref="R192:R199" si="114">L192</f>
        <v>0</v>
      </c>
      <c r="S192" s="3298">
        <f t="shared" ref="S192:S199" si="115">M192</f>
        <v>0</v>
      </c>
      <c r="T192" s="3318">
        <f t="shared" ref="T192:T199" si="116">N192</f>
        <v>0</v>
      </c>
      <c r="U192" s="3469"/>
      <c r="V192" s="3310"/>
      <c r="W192" s="3310"/>
      <c r="X192" s="3310"/>
      <c r="Y192" s="3310"/>
      <c r="Z192" s="3311"/>
      <c r="AA192" s="2680" t="str">
        <f t="shared" ref="AA192:AA199" si="117">G192</f>
        <v>Styrian Goldings</v>
      </c>
      <c r="AB192" s="617"/>
      <c r="AC192" s="663">
        <f t="shared" si="87"/>
        <v>0</v>
      </c>
      <c r="AD192" s="663">
        <f t="shared" si="88"/>
        <v>0</v>
      </c>
      <c r="AE192" s="663">
        <f t="shared" si="89"/>
        <v>0</v>
      </c>
      <c r="AF192" s="663">
        <f t="shared" si="90"/>
        <v>0</v>
      </c>
      <c r="AG192" s="663">
        <f t="shared" si="91"/>
        <v>0</v>
      </c>
      <c r="AH192" s="663">
        <f t="shared" si="92"/>
        <v>0</v>
      </c>
      <c r="AI192" s="739">
        <f t="shared" si="93"/>
        <v>0</v>
      </c>
      <c r="AJ192" s="663">
        <f t="shared" si="94"/>
        <v>0</v>
      </c>
      <c r="AK192" s="663">
        <f t="shared" si="95"/>
        <v>0</v>
      </c>
      <c r="AL192" s="663">
        <f t="shared" si="96"/>
        <v>0</v>
      </c>
      <c r="AM192" s="663">
        <f t="shared" si="97"/>
        <v>0</v>
      </c>
      <c r="AN192" s="663">
        <f t="shared" si="98"/>
        <v>0</v>
      </c>
      <c r="AO192" s="739">
        <f t="shared" si="99"/>
        <v>0</v>
      </c>
      <c r="AP192" s="663">
        <f t="shared" si="100"/>
        <v>0</v>
      </c>
      <c r="AQ192" s="663">
        <f t="shared" si="101"/>
        <v>0</v>
      </c>
      <c r="AR192" s="663">
        <f t="shared" si="102"/>
        <v>0</v>
      </c>
      <c r="AS192" s="663">
        <f t="shared" si="103"/>
        <v>0</v>
      </c>
      <c r="AT192" s="663">
        <f t="shared" si="104"/>
        <v>0</v>
      </c>
      <c r="AU192" s="2656">
        <f>'Beer Data Sheet'!Z49</f>
        <v>365</v>
      </c>
      <c r="AV192" s="2487">
        <f>C$208/100</f>
        <v>0.75</v>
      </c>
      <c r="AW192" s="721">
        <f>'Beer Data Sheet'!AD49</f>
        <v>11</v>
      </c>
      <c r="AX192" s="725">
        <f t="shared" si="105"/>
        <v>0</v>
      </c>
      <c r="AY192" s="695">
        <f t="shared" si="106"/>
        <v>0</v>
      </c>
      <c r="AZ192" s="695">
        <f t="shared" si="107"/>
        <v>0</v>
      </c>
      <c r="BA192" s="453"/>
    </row>
    <row r="193" spans="1:53" ht="15.75" customHeight="1">
      <c r="A193" s="5215"/>
      <c r="B193" s="2689" t="str">
        <f>'Beer Data Sheet'!Y50</f>
        <v>Extract (LIQUID - wheat)</v>
      </c>
      <c r="C193" s="2336"/>
      <c r="D193" s="817" t="s">
        <v>40</v>
      </c>
      <c r="E193" s="2342">
        <f t="shared" si="108"/>
        <v>0</v>
      </c>
      <c r="F193" s="2342">
        <f t="shared" si="109"/>
        <v>0</v>
      </c>
      <c r="G193" s="3834" t="str">
        <f>'Beer Data Sheet'!$Y25</f>
        <v>Target</v>
      </c>
      <c r="H193" s="3835">
        <f>'Beer Data Sheet'!$Z25</f>
        <v>11.2</v>
      </c>
      <c r="I193" s="3303"/>
      <c r="J193" s="3312"/>
      <c r="K193" s="3312"/>
      <c r="L193" s="3312"/>
      <c r="M193" s="3312"/>
      <c r="N193" s="3305"/>
      <c r="O193" s="3317">
        <f t="shared" si="111"/>
        <v>0</v>
      </c>
      <c r="P193" s="3298">
        <f t="shared" si="112"/>
        <v>0</v>
      </c>
      <c r="Q193" s="3298">
        <f t="shared" si="113"/>
        <v>0</v>
      </c>
      <c r="R193" s="3298">
        <f t="shared" si="114"/>
        <v>0</v>
      </c>
      <c r="S193" s="3298">
        <f t="shared" si="115"/>
        <v>0</v>
      </c>
      <c r="T193" s="3318">
        <f t="shared" si="116"/>
        <v>0</v>
      </c>
      <c r="U193" s="3309"/>
      <c r="V193" s="3310"/>
      <c r="W193" s="3310"/>
      <c r="X193" s="3310"/>
      <c r="Y193" s="3310"/>
      <c r="Z193" s="3311"/>
      <c r="AA193" s="2680" t="str">
        <f t="shared" si="117"/>
        <v>Target</v>
      </c>
      <c r="AB193" s="617"/>
      <c r="AC193" s="663">
        <f t="shared" si="87"/>
        <v>0</v>
      </c>
      <c r="AD193" s="663">
        <f t="shared" si="88"/>
        <v>0</v>
      </c>
      <c r="AE193" s="663">
        <f t="shared" si="89"/>
        <v>0</v>
      </c>
      <c r="AF193" s="663">
        <f t="shared" si="90"/>
        <v>0</v>
      </c>
      <c r="AG193" s="663">
        <f t="shared" si="91"/>
        <v>0</v>
      </c>
      <c r="AH193" s="663">
        <f t="shared" si="92"/>
        <v>0</v>
      </c>
      <c r="AI193" s="739">
        <f t="shared" si="93"/>
        <v>0</v>
      </c>
      <c r="AJ193" s="663">
        <f t="shared" si="94"/>
        <v>0</v>
      </c>
      <c r="AK193" s="663">
        <f t="shared" si="95"/>
        <v>0</v>
      </c>
      <c r="AL193" s="663">
        <f t="shared" si="96"/>
        <v>0</v>
      </c>
      <c r="AM193" s="663">
        <f t="shared" si="97"/>
        <v>0</v>
      </c>
      <c r="AN193" s="663">
        <f t="shared" si="98"/>
        <v>0</v>
      </c>
      <c r="AO193" s="739">
        <f t="shared" si="99"/>
        <v>0</v>
      </c>
      <c r="AP193" s="663">
        <f t="shared" si="100"/>
        <v>0</v>
      </c>
      <c r="AQ193" s="663">
        <f t="shared" si="101"/>
        <v>0</v>
      </c>
      <c r="AR193" s="663">
        <f t="shared" si="102"/>
        <v>0</v>
      </c>
      <c r="AS193" s="663">
        <f t="shared" si="103"/>
        <v>0</v>
      </c>
      <c r="AT193" s="663">
        <f t="shared" si="104"/>
        <v>0</v>
      </c>
      <c r="AU193" s="2656">
        <f>'Beer Data Sheet'!Z50</f>
        <v>366</v>
      </c>
      <c r="AV193" s="2487">
        <f>C$208/100</f>
        <v>0.75</v>
      </c>
      <c r="AW193" s="721">
        <f>'Beer Data Sheet'!AD50</f>
        <v>11</v>
      </c>
      <c r="AX193" s="725">
        <f t="shared" si="105"/>
        <v>0</v>
      </c>
      <c r="AY193" s="695">
        <f t="shared" si="106"/>
        <v>0</v>
      </c>
      <c r="AZ193" s="695">
        <f t="shared" si="107"/>
        <v>0</v>
      </c>
      <c r="BA193" s="453"/>
    </row>
    <row r="194" spans="1:53" ht="15.75" customHeight="1">
      <c r="A194" s="5260" t="s">
        <v>731</v>
      </c>
      <c r="B194" s="2690" t="str">
        <f>'Beer Data Sheet'!Y51</f>
        <v>Black</v>
      </c>
      <c r="C194" s="2336">
        <v>100</v>
      </c>
      <c r="D194" s="818" t="s">
        <v>40</v>
      </c>
      <c r="E194" s="2342">
        <f t="shared" si="108"/>
        <v>1.9821998453884122</v>
      </c>
      <c r="F194" s="2342">
        <f t="shared" si="109"/>
        <v>1.7219532798336528</v>
      </c>
      <c r="G194" s="3834" t="str">
        <f>'Beer Data Sheet'!$Y26</f>
        <v>WGV</v>
      </c>
      <c r="H194" s="3835">
        <f>'Beer Data Sheet'!$Z26</f>
        <v>6.3</v>
      </c>
      <c r="I194" s="3303"/>
      <c r="J194" s="3312"/>
      <c r="K194" s="3312"/>
      <c r="L194" s="3312"/>
      <c r="M194" s="3312"/>
      <c r="N194" s="3305"/>
      <c r="O194" s="3317">
        <f t="shared" si="111"/>
        <v>0</v>
      </c>
      <c r="P194" s="3298">
        <f t="shared" si="112"/>
        <v>0</v>
      </c>
      <c r="Q194" s="3298">
        <f t="shared" si="113"/>
        <v>0</v>
      </c>
      <c r="R194" s="3298">
        <f t="shared" si="114"/>
        <v>0</v>
      </c>
      <c r="S194" s="3298">
        <f t="shared" si="115"/>
        <v>0</v>
      </c>
      <c r="T194" s="3318">
        <f t="shared" si="116"/>
        <v>0</v>
      </c>
      <c r="U194" s="3309"/>
      <c r="V194" s="3310"/>
      <c r="W194" s="3310"/>
      <c r="X194" s="3310"/>
      <c r="Y194" s="3310"/>
      <c r="Z194" s="3311"/>
      <c r="AA194" s="2680" t="str">
        <f t="shared" si="117"/>
        <v>WGV</v>
      </c>
      <c r="AB194" s="617"/>
      <c r="AC194" s="663">
        <f t="shared" si="87"/>
        <v>0</v>
      </c>
      <c r="AD194" s="663">
        <f t="shared" si="88"/>
        <v>0</v>
      </c>
      <c r="AE194" s="663">
        <f t="shared" si="89"/>
        <v>0</v>
      </c>
      <c r="AF194" s="663">
        <f t="shared" si="90"/>
        <v>0</v>
      </c>
      <c r="AG194" s="663">
        <f t="shared" si="91"/>
        <v>0</v>
      </c>
      <c r="AH194" s="663">
        <f t="shared" si="92"/>
        <v>0</v>
      </c>
      <c r="AI194" s="739">
        <f t="shared" si="93"/>
        <v>0</v>
      </c>
      <c r="AJ194" s="663">
        <f t="shared" si="94"/>
        <v>0</v>
      </c>
      <c r="AK194" s="663">
        <f t="shared" si="95"/>
        <v>0</v>
      </c>
      <c r="AL194" s="663">
        <f t="shared" si="96"/>
        <v>0</v>
      </c>
      <c r="AM194" s="663">
        <f t="shared" si="97"/>
        <v>0</v>
      </c>
      <c r="AN194" s="663">
        <f t="shared" si="98"/>
        <v>0</v>
      </c>
      <c r="AO194" s="739">
        <f t="shared" si="99"/>
        <v>0</v>
      </c>
      <c r="AP194" s="663">
        <f t="shared" si="100"/>
        <v>0</v>
      </c>
      <c r="AQ194" s="663">
        <f t="shared" si="101"/>
        <v>0</v>
      </c>
      <c r="AR194" s="663">
        <f t="shared" si="102"/>
        <v>0</v>
      </c>
      <c r="AS194" s="663">
        <f t="shared" si="103"/>
        <v>0</v>
      </c>
      <c r="AT194" s="663">
        <f t="shared" si="104"/>
        <v>0</v>
      </c>
      <c r="AU194" s="725">
        <f>'Beer Data Sheet'!Z51*$L$8/100</f>
        <v>198.75</v>
      </c>
      <c r="AV194" s="2487">
        <f t="shared" si="110"/>
        <v>0.75</v>
      </c>
      <c r="AW194" s="721">
        <f>'Beer Data Sheet'!AD51</f>
        <v>908.8</v>
      </c>
      <c r="AX194" s="725">
        <f t="shared" si="105"/>
        <v>19.875</v>
      </c>
      <c r="AY194" s="695">
        <f t="shared" si="106"/>
        <v>14.90625</v>
      </c>
      <c r="AZ194" s="695">
        <f t="shared" si="107"/>
        <v>908.8</v>
      </c>
      <c r="BA194" s="453"/>
    </row>
    <row r="195" spans="1:53" ht="15.75" customHeight="1">
      <c r="A195" s="5260"/>
      <c r="B195" s="2690" t="str">
        <f>'Beer Data Sheet'!Y52</f>
        <v>Chocolate</v>
      </c>
      <c r="C195" s="2336"/>
      <c r="D195" s="818" t="s">
        <v>40</v>
      </c>
      <c r="E195" s="2342">
        <f t="shared" si="108"/>
        <v>0</v>
      </c>
      <c r="F195" s="2342">
        <f t="shared" si="109"/>
        <v>0</v>
      </c>
      <c r="G195" s="3834" t="str">
        <f>'Beer Data Sheet'!$Y27</f>
        <v xml:space="preserve">Other </v>
      </c>
      <c r="H195" s="3835">
        <f>'Beer Data Sheet'!$Z27</f>
        <v>0</v>
      </c>
      <c r="I195" s="3303"/>
      <c r="J195" s="3312"/>
      <c r="K195" s="3312"/>
      <c r="L195" s="3312"/>
      <c r="M195" s="3312"/>
      <c r="N195" s="3305"/>
      <c r="O195" s="3317">
        <f t="shared" si="111"/>
        <v>0</v>
      </c>
      <c r="P195" s="3298">
        <f t="shared" si="112"/>
        <v>0</v>
      </c>
      <c r="Q195" s="3298">
        <f t="shared" si="113"/>
        <v>0</v>
      </c>
      <c r="R195" s="3298">
        <f t="shared" si="114"/>
        <v>0</v>
      </c>
      <c r="S195" s="3298">
        <f t="shared" si="115"/>
        <v>0</v>
      </c>
      <c r="T195" s="3318">
        <f t="shared" si="116"/>
        <v>0</v>
      </c>
      <c r="U195" s="3309"/>
      <c r="V195" s="3310"/>
      <c r="W195" s="3310"/>
      <c r="X195" s="3310"/>
      <c r="Y195" s="3310"/>
      <c r="Z195" s="3311"/>
      <c r="AA195" s="2680" t="str">
        <f t="shared" si="117"/>
        <v xml:space="preserve">Other </v>
      </c>
      <c r="AB195" s="617"/>
      <c r="AC195" s="663">
        <f t="shared" si="87"/>
        <v>0</v>
      </c>
      <c r="AD195" s="663">
        <f t="shared" si="88"/>
        <v>0</v>
      </c>
      <c r="AE195" s="663">
        <f t="shared" si="89"/>
        <v>0</v>
      </c>
      <c r="AF195" s="663">
        <f t="shared" si="90"/>
        <v>0</v>
      </c>
      <c r="AG195" s="663">
        <f t="shared" si="91"/>
        <v>0</v>
      </c>
      <c r="AH195" s="663">
        <f t="shared" si="92"/>
        <v>0</v>
      </c>
      <c r="AI195" s="739">
        <f t="shared" si="93"/>
        <v>0</v>
      </c>
      <c r="AJ195" s="663">
        <f t="shared" si="94"/>
        <v>0</v>
      </c>
      <c r="AK195" s="663">
        <f t="shared" si="95"/>
        <v>0</v>
      </c>
      <c r="AL195" s="663">
        <f t="shared" si="96"/>
        <v>0</v>
      </c>
      <c r="AM195" s="663">
        <f t="shared" si="97"/>
        <v>0</v>
      </c>
      <c r="AN195" s="663">
        <f t="shared" si="98"/>
        <v>0</v>
      </c>
      <c r="AO195" s="739">
        <f t="shared" si="99"/>
        <v>0</v>
      </c>
      <c r="AP195" s="663">
        <f t="shared" si="100"/>
        <v>0</v>
      </c>
      <c r="AQ195" s="663">
        <f t="shared" si="101"/>
        <v>0</v>
      </c>
      <c r="AR195" s="663">
        <f t="shared" si="102"/>
        <v>0</v>
      </c>
      <c r="AS195" s="663">
        <f t="shared" si="103"/>
        <v>0</v>
      </c>
      <c r="AT195" s="663">
        <f t="shared" si="104"/>
        <v>0</v>
      </c>
      <c r="AU195" s="725">
        <f>'Beer Data Sheet'!Z52*$L$8/100</f>
        <v>198.75</v>
      </c>
      <c r="AV195" s="815">
        <f t="shared" si="110"/>
        <v>0.75</v>
      </c>
      <c r="AW195" s="721">
        <f>'Beer Data Sheet'!AD52</f>
        <v>763.2</v>
      </c>
      <c r="AX195" s="725">
        <f t="shared" si="105"/>
        <v>0</v>
      </c>
      <c r="AY195" s="695">
        <f t="shared" si="106"/>
        <v>0</v>
      </c>
      <c r="AZ195" s="695">
        <f t="shared" si="107"/>
        <v>0</v>
      </c>
      <c r="BA195" s="453"/>
    </row>
    <row r="196" spans="1:53" ht="15.75" customHeight="1">
      <c r="A196" s="5260"/>
      <c r="B196" s="2690" t="str">
        <f>'Beer Data Sheet'!Y53</f>
        <v>Crystal (light)</v>
      </c>
      <c r="C196" s="2336"/>
      <c r="D196" s="818" t="s">
        <v>40</v>
      </c>
      <c r="E196" s="2342">
        <f t="shared" si="108"/>
        <v>0</v>
      </c>
      <c r="F196" s="2342">
        <f t="shared" si="109"/>
        <v>0</v>
      </c>
      <c r="G196" s="3834" t="str">
        <f>'Beer Data Sheet'!$Y28</f>
        <v xml:space="preserve">Other </v>
      </c>
      <c r="H196" s="3835">
        <f>'Beer Data Sheet'!$Z28</f>
        <v>0</v>
      </c>
      <c r="I196" s="3303"/>
      <c r="J196" s="3312"/>
      <c r="K196" s="3312"/>
      <c r="L196" s="3312"/>
      <c r="M196" s="3312"/>
      <c r="N196" s="3305"/>
      <c r="O196" s="3317">
        <f t="shared" si="111"/>
        <v>0</v>
      </c>
      <c r="P196" s="3298">
        <f t="shared" si="112"/>
        <v>0</v>
      </c>
      <c r="Q196" s="3298">
        <f t="shared" si="113"/>
        <v>0</v>
      </c>
      <c r="R196" s="3298">
        <f t="shared" si="114"/>
        <v>0</v>
      </c>
      <c r="S196" s="3298">
        <f t="shared" si="115"/>
        <v>0</v>
      </c>
      <c r="T196" s="3318">
        <f t="shared" si="116"/>
        <v>0</v>
      </c>
      <c r="U196" s="3309"/>
      <c r="V196" s="3310"/>
      <c r="W196" s="3310"/>
      <c r="X196" s="3310"/>
      <c r="Y196" s="3310"/>
      <c r="Z196" s="3311"/>
      <c r="AA196" s="2680" t="str">
        <f t="shared" si="117"/>
        <v xml:space="preserve">Other </v>
      </c>
      <c r="AB196" s="617"/>
      <c r="AC196" s="663">
        <f t="shared" si="87"/>
        <v>0</v>
      </c>
      <c r="AD196" s="663">
        <f t="shared" si="88"/>
        <v>0</v>
      </c>
      <c r="AE196" s="663">
        <f t="shared" si="89"/>
        <v>0</v>
      </c>
      <c r="AF196" s="663">
        <f t="shared" si="90"/>
        <v>0</v>
      </c>
      <c r="AG196" s="663">
        <f t="shared" si="91"/>
        <v>0</v>
      </c>
      <c r="AH196" s="663">
        <f t="shared" si="92"/>
        <v>0</v>
      </c>
      <c r="AI196" s="739">
        <f t="shared" si="93"/>
        <v>0</v>
      </c>
      <c r="AJ196" s="663">
        <f t="shared" si="94"/>
        <v>0</v>
      </c>
      <c r="AK196" s="663">
        <f t="shared" si="95"/>
        <v>0</v>
      </c>
      <c r="AL196" s="663">
        <f t="shared" si="96"/>
        <v>0</v>
      </c>
      <c r="AM196" s="663">
        <f t="shared" si="97"/>
        <v>0</v>
      </c>
      <c r="AN196" s="663">
        <f t="shared" si="98"/>
        <v>0</v>
      </c>
      <c r="AO196" s="739">
        <f t="shared" si="99"/>
        <v>0</v>
      </c>
      <c r="AP196" s="663">
        <f t="shared" si="100"/>
        <v>0</v>
      </c>
      <c r="AQ196" s="663">
        <f t="shared" si="101"/>
        <v>0</v>
      </c>
      <c r="AR196" s="663">
        <f t="shared" si="102"/>
        <v>0</v>
      </c>
      <c r="AS196" s="663">
        <f t="shared" si="103"/>
        <v>0</v>
      </c>
      <c r="AT196" s="663">
        <f t="shared" si="104"/>
        <v>0</v>
      </c>
      <c r="AU196" s="725">
        <f>'Beer Data Sheet'!Z53*$L$8/100</f>
        <v>198.75</v>
      </c>
      <c r="AV196" s="815">
        <f t="shared" si="110"/>
        <v>0.75</v>
      </c>
      <c r="AW196" s="721">
        <f>'Beer Data Sheet'!AD53</f>
        <v>77.7</v>
      </c>
      <c r="AX196" s="725">
        <f t="shared" si="105"/>
        <v>0</v>
      </c>
      <c r="AY196" s="695">
        <f t="shared" si="106"/>
        <v>0</v>
      </c>
      <c r="AZ196" s="695">
        <f t="shared" si="107"/>
        <v>0</v>
      </c>
      <c r="BA196" s="453"/>
    </row>
    <row r="197" spans="1:53" ht="15.75" customHeight="1">
      <c r="A197" s="5260"/>
      <c r="B197" s="2690" t="str">
        <f>'Beer Data Sheet'!Y54</f>
        <v>Crystal (medium)</v>
      </c>
      <c r="C197" s="2336"/>
      <c r="D197" s="818" t="s">
        <v>40</v>
      </c>
      <c r="E197" s="2342">
        <f t="shared" si="108"/>
        <v>0</v>
      </c>
      <c r="F197" s="2342">
        <f t="shared" si="109"/>
        <v>0</v>
      </c>
      <c r="G197" s="3834" t="str">
        <f>'Beer Data Sheet'!$Y29</f>
        <v xml:space="preserve">Other </v>
      </c>
      <c r="H197" s="3835">
        <f>'Beer Data Sheet'!$Z29</f>
        <v>0</v>
      </c>
      <c r="I197" s="3303"/>
      <c r="J197" s="3312"/>
      <c r="K197" s="3312"/>
      <c r="L197" s="3312"/>
      <c r="M197" s="3312"/>
      <c r="N197" s="3305"/>
      <c r="O197" s="3317">
        <f t="shared" si="111"/>
        <v>0</v>
      </c>
      <c r="P197" s="3298">
        <f t="shared" si="112"/>
        <v>0</v>
      </c>
      <c r="Q197" s="3298">
        <f t="shared" si="113"/>
        <v>0</v>
      </c>
      <c r="R197" s="3298">
        <f t="shared" si="114"/>
        <v>0</v>
      </c>
      <c r="S197" s="3298">
        <f t="shared" si="115"/>
        <v>0</v>
      </c>
      <c r="T197" s="3318">
        <f t="shared" si="116"/>
        <v>0</v>
      </c>
      <c r="U197" s="3309"/>
      <c r="V197" s="3310"/>
      <c r="W197" s="3310"/>
      <c r="X197" s="3310"/>
      <c r="Y197" s="3310"/>
      <c r="Z197" s="3311"/>
      <c r="AA197" s="2680" t="str">
        <f t="shared" si="117"/>
        <v xml:space="preserve">Other </v>
      </c>
      <c r="AB197" s="617"/>
      <c r="AC197" s="663">
        <f t="shared" si="87"/>
        <v>0</v>
      </c>
      <c r="AD197" s="663">
        <f t="shared" si="88"/>
        <v>0</v>
      </c>
      <c r="AE197" s="663">
        <f t="shared" si="89"/>
        <v>0</v>
      </c>
      <c r="AF197" s="663">
        <f t="shared" si="90"/>
        <v>0</v>
      </c>
      <c r="AG197" s="663">
        <f t="shared" si="91"/>
        <v>0</v>
      </c>
      <c r="AH197" s="663">
        <f t="shared" si="92"/>
        <v>0</v>
      </c>
      <c r="AI197" s="739">
        <f t="shared" si="93"/>
        <v>0</v>
      </c>
      <c r="AJ197" s="663">
        <f t="shared" si="94"/>
        <v>0</v>
      </c>
      <c r="AK197" s="663">
        <f t="shared" si="95"/>
        <v>0</v>
      </c>
      <c r="AL197" s="663">
        <f t="shared" si="96"/>
        <v>0</v>
      </c>
      <c r="AM197" s="663">
        <f t="shared" si="97"/>
        <v>0</v>
      </c>
      <c r="AN197" s="663">
        <f t="shared" si="98"/>
        <v>0</v>
      </c>
      <c r="AO197" s="739">
        <f t="shared" si="99"/>
        <v>0</v>
      </c>
      <c r="AP197" s="663">
        <f t="shared" si="100"/>
        <v>0</v>
      </c>
      <c r="AQ197" s="663">
        <f t="shared" si="101"/>
        <v>0</v>
      </c>
      <c r="AR197" s="663">
        <f t="shared" si="102"/>
        <v>0</v>
      </c>
      <c r="AS197" s="663">
        <f t="shared" si="103"/>
        <v>0</v>
      </c>
      <c r="AT197" s="663">
        <f t="shared" si="104"/>
        <v>0</v>
      </c>
      <c r="AU197" s="725">
        <f>'Beer Data Sheet'!Z54*$L$8/100</f>
        <v>198.75</v>
      </c>
      <c r="AV197" s="815">
        <f t="shared" si="110"/>
        <v>0.75</v>
      </c>
      <c r="AW197" s="721">
        <f>'Beer Data Sheet'!AD54</f>
        <v>103.6</v>
      </c>
      <c r="AX197" s="725">
        <f t="shared" si="105"/>
        <v>0</v>
      </c>
      <c r="AY197" s="695">
        <f t="shared" si="106"/>
        <v>0</v>
      </c>
      <c r="AZ197" s="695">
        <f t="shared" si="107"/>
        <v>0</v>
      </c>
      <c r="BA197" s="453"/>
    </row>
    <row r="198" spans="1:53" ht="15.75" customHeight="1">
      <c r="A198" s="5260"/>
      <c r="B198" s="2690" t="str">
        <f>'Beer Data Sheet'!Y55</f>
        <v>Crystal (dark)</v>
      </c>
      <c r="C198" s="2336"/>
      <c r="D198" s="818" t="s">
        <v>40</v>
      </c>
      <c r="E198" s="2342">
        <f t="shared" si="108"/>
        <v>0</v>
      </c>
      <c r="F198" s="2342">
        <f t="shared" si="109"/>
        <v>0</v>
      </c>
      <c r="G198" s="3834" t="str">
        <f>'Beer Data Sheet'!$Y30</f>
        <v xml:space="preserve">Other </v>
      </c>
      <c r="H198" s="3835">
        <f>'Beer Data Sheet'!$Z30</f>
        <v>0</v>
      </c>
      <c r="I198" s="3303"/>
      <c r="J198" s="3312"/>
      <c r="K198" s="3312"/>
      <c r="L198" s="3312"/>
      <c r="M198" s="3312"/>
      <c r="N198" s="3305"/>
      <c r="O198" s="3317">
        <f t="shared" si="111"/>
        <v>0</v>
      </c>
      <c r="P198" s="3298">
        <f t="shared" si="112"/>
        <v>0</v>
      </c>
      <c r="Q198" s="3298">
        <f t="shared" si="113"/>
        <v>0</v>
      </c>
      <c r="R198" s="3298">
        <f t="shared" si="114"/>
        <v>0</v>
      </c>
      <c r="S198" s="3298">
        <f t="shared" si="115"/>
        <v>0</v>
      </c>
      <c r="T198" s="3318">
        <f t="shared" si="116"/>
        <v>0</v>
      </c>
      <c r="U198" s="3309"/>
      <c r="V198" s="3310"/>
      <c r="W198" s="3310"/>
      <c r="X198" s="3310"/>
      <c r="Y198" s="3310"/>
      <c r="Z198" s="3311"/>
      <c r="AA198" s="2680" t="str">
        <f t="shared" si="117"/>
        <v xml:space="preserve">Other </v>
      </c>
      <c r="AB198" s="617"/>
      <c r="AC198" s="663">
        <f t="shared" si="87"/>
        <v>0</v>
      </c>
      <c r="AD198" s="663">
        <f t="shared" si="88"/>
        <v>0</v>
      </c>
      <c r="AE198" s="663">
        <f t="shared" si="89"/>
        <v>0</v>
      </c>
      <c r="AF198" s="663">
        <f t="shared" si="90"/>
        <v>0</v>
      </c>
      <c r="AG198" s="663">
        <f t="shared" si="91"/>
        <v>0</v>
      </c>
      <c r="AH198" s="663">
        <f t="shared" si="92"/>
        <v>0</v>
      </c>
      <c r="AI198" s="739">
        <f t="shared" si="93"/>
        <v>0</v>
      </c>
      <c r="AJ198" s="663">
        <f t="shared" si="94"/>
        <v>0</v>
      </c>
      <c r="AK198" s="663">
        <f t="shared" si="95"/>
        <v>0</v>
      </c>
      <c r="AL198" s="663">
        <f t="shared" si="96"/>
        <v>0</v>
      </c>
      <c r="AM198" s="663">
        <f t="shared" si="97"/>
        <v>0</v>
      </c>
      <c r="AN198" s="663">
        <f t="shared" si="98"/>
        <v>0</v>
      </c>
      <c r="AO198" s="739">
        <f t="shared" si="99"/>
        <v>0</v>
      </c>
      <c r="AP198" s="663">
        <f t="shared" si="100"/>
        <v>0</v>
      </c>
      <c r="AQ198" s="663">
        <f t="shared" si="101"/>
        <v>0</v>
      </c>
      <c r="AR198" s="663">
        <f t="shared" si="102"/>
        <v>0</v>
      </c>
      <c r="AS198" s="663">
        <f t="shared" si="103"/>
        <v>0</v>
      </c>
      <c r="AT198" s="663">
        <f t="shared" si="104"/>
        <v>0</v>
      </c>
      <c r="AU198" s="725">
        <f>'Beer Data Sheet'!Z55*$L$8/100</f>
        <v>199.5</v>
      </c>
      <c r="AV198" s="815">
        <f t="shared" si="110"/>
        <v>0.75</v>
      </c>
      <c r="AW198" s="721">
        <f>'Beer Data Sheet'!AD55</f>
        <v>148</v>
      </c>
      <c r="AX198" s="725">
        <f t="shared" si="105"/>
        <v>0</v>
      </c>
      <c r="AY198" s="695">
        <f t="shared" si="106"/>
        <v>0</v>
      </c>
      <c r="AZ198" s="695">
        <f t="shared" si="107"/>
        <v>0</v>
      </c>
      <c r="BA198" s="453"/>
    </row>
    <row r="199" spans="1:53" ht="15.75" customHeight="1">
      <c r="A199" s="5260"/>
      <c r="B199" s="2690" t="str">
        <f>'Beer Data Sheet'!Y56</f>
        <v>Roast barley</v>
      </c>
      <c r="C199" s="2336"/>
      <c r="D199" s="818" t="s">
        <v>40</v>
      </c>
      <c r="E199" s="2342">
        <f t="shared" si="108"/>
        <v>0</v>
      </c>
      <c r="F199" s="2342">
        <f t="shared" si="109"/>
        <v>0</v>
      </c>
      <c r="G199" s="3834" t="str">
        <f>'Beer Data Sheet'!$Y31</f>
        <v xml:space="preserve">Other </v>
      </c>
      <c r="H199" s="3835">
        <f>'Beer Data Sheet'!$Z31</f>
        <v>0</v>
      </c>
      <c r="I199" s="3303"/>
      <c r="J199" s="3312"/>
      <c r="K199" s="3312"/>
      <c r="L199" s="3312"/>
      <c r="M199" s="3312"/>
      <c r="N199" s="3305"/>
      <c r="O199" s="3317">
        <f t="shared" si="111"/>
        <v>0</v>
      </c>
      <c r="P199" s="3298">
        <f t="shared" si="112"/>
        <v>0</v>
      </c>
      <c r="Q199" s="3298">
        <f t="shared" si="113"/>
        <v>0</v>
      </c>
      <c r="R199" s="3298">
        <f t="shared" si="114"/>
        <v>0</v>
      </c>
      <c r="S199" s="3298">
        <f t="shared" si="115"/>
        <v>0</v>
      </c>
      <c r="T199" s="3318">
        <f t="shared" si="116"/>
        <v>0</v>
      </c>
      <c r="U199" s="3309"/>
      <c r="V199" s="3310"/>
      <c r="W199" s="3310"/>
      <c r="X199" s="3310"/>
      <c r="Y199" s="3310"/>
      <c r="Z199" s="3311"/>
      <c r="AA199" s="2680" t="str">
        <f t="shared" si="117"/>
        <v xml:space="preserve">Other </v>
      </c>
      <c r="AB199" s="617"/>
      <c r="AC199" s="663">
        <f t="shared" si="87"/>
        <v>0</v>
      </c>
      <c r="AD199" s="663">
        <f t="shared" si="88"/>
        <v>0</v>
      </c>
      <c r="AE199" s="663">
        <f t="shared" si="89"/>
        <v>0</v>
      </c>
      <c r="AF199" s="663">
        <f t="shared" si="90"/>
        <v>0</v>
      </c>
      <c r="AG199" s="663">
        <f t="shared" si="91"/>
        <v>0</v>
      </c>
      <c r="AH199" s="663">
        <f t="shared" si="92"/>
        <v>0</v>
      </c>
      <c r="AI199" s="739">
        <f t="shared" si="93"/>
        <v>0</v>
      </c>
      <c r="AJ199" s="663">
        <f t="shared" si="94"/>
        <v>0</v>
      </c>
      <c r="AK199" s="663">
        <f t="shared" si="95"/>
        <v>0</v>
      </c>
      <c r="AL199" s="663">
        <f t="shared" si="96"/>
        <v>0</v>
      </c>
      <c r="AM199" s="663">
        <f t="shared" si="97"/>
        <v>0</v>
      </c>
      <c r="AN199" s="663">
        <f t="shared" si="98"/>
        <v>0</v>
      </c>
      <c r="AO199" s="739">
        <f t="shared" si="99"/>
        <v>0</v>
      </c>
      <c r="AP199" s="663">
        <f t="shared" si="100"/>
        <v>0</v>
      </c>
      <c r="AQ199" s="663">
        <f t="shared" si="101"/>
        <v>0</v>
      </c>
      <c r="AR199" s="663">
        <f t="shared" si="102"/>
        <v>0</v>
      </c>
      <c r="AS199" s="663">
        <f t="shared" si="103"/>
        <v>0</v>
      </c>
      <c r="AT199" s="663">
        <f t="shared" si="104"/>
        <v>0</v>
      </c>
      <c r="AU199" s="725">
        <f>'Beer Data Sheet'!Z56*$L$8/100</f>
        <v>198.75</v>
      </c>
      <c r="AV199" s="815">
        <f t="shared" si="110"/>
        <v>0.75</v>
      </c>
      <c r="AW199" s="721">
        <f>'Beer Data Sheet'!AD56</f>
        <v>902.8</v>
      </c>
      <c r="AX199" s="725">
        <f t="shared" si="105"/>
        <v>0</v>
      </c>
      <c r="AY199" s="695">
        <f t="shared" si="106"/>
        <v>0</v>
      </c>
      <c r="AZ199" s="695">
        <f t="shared" si="107"/>
        <v>0</v>
      </c>
      <c r="BA199" s="453"/>
    </row>
    <row r="200" spans="1:53" ht="15.75" customHeight="1">
      <c r="A200" s="5261" t="s">
        <v>143</v>
      </c>
      <c r="B200" s="2691" t="str">
        <f>'Beer Data Sheet'!Y57</f>
        <v>Cane ̸ beet sugar (sucrose)</v>
      </c>
      <c r="C200" s="2336"/>
      <c r="D200" s="819" t="s">
        <v>40</v>
      </c>
      <c r="E200" s="2342">
        <f t="shared" si="108"/>
        <v>0</v>
      </c>
      <c r="F200" s="2342">
        <f t="shared" si="109"/>
        <v>0</v>
      </c>
      <c r="G200" s="3836" t="s">
        <v>681</v>
      </c>
      <c r="H200" s="3837" t="s">
        <v>682</v>
      </c>
      <c r="I200" s="3319">
        <v>0</v>
      </c>
      <c r="J200" s="5264" t="str">
        <f>"ml = "&amp;FIXED(I200/5,2)&amp;" tsp (1 tsp = 5ml)."</f>
        <v>ml = 0.00 tsp (1 tsp = 5ml).</v>
      </c>
      <c r="K200" s="5265"/>
      <c r="L200" s="5265"/>
      <c r="M200" s="5265"/>
      <c r="N200" s="5266"/>
      <c r="O200" s="3326">
        <f>I200</f>
        <v>0</v>
      </c>
      <c r="P200" s="5264" t="str">
        <f>"ml = "&amp;FIXED(O200/5,2)&amp;" tsp"</f>
        <v>ml = 0.00 tsp</v>
      </c>
      <c r="Q200" s="5265"/>
      <c r="R200" s="5265"/>
      <c r="S200" s="5265"/>
      <c r="T200" s="5266"/>
      <c r="U200" s="3319">
        <f>O200</f>
        <v>0</v>
      </c>
      <c r="V200" s="5267" t="str">
        <f>"ml = "&amp;FIXED(U200/5,2)&amp;" tsp"</f>
        <v>ml = 0.00 tsp</v>
      </c>
      <c r="W200" s="5265"/>
      <c r="X200" s="5265"/>
      <c r="Y200" s="5265"/>
      <c r="Z200" s="5266"/>
      <c r="AA200" s="2180"/>
      <c r="AB200" s="617"/>
      <c r="AC200" s="890">
        <f>SUM(AC177:AC199)</f>
        <v>268</v>
      </c>
      <c r="AD200" s="890">
        <f t="shared" ref="AD200:AT200" si="118">SUM(AD177:AD199)</f>
        <v>0</v>
      </c>
      <c r="AE200" s="890">
        <f t="shared" si="118"/>
        <v>0</v>
      </c>
      <c r="AF200" s="890">
        <f t="shared" si="118"/>
        <v>0</v>
      </c>
      <c r="AG200" s="890">
        <f t="shared" si="118"/>
        <v>58.29</v>
      </c>
      <c r="AH200" s="890">
        <f t="shared" si="118"/>
        <v>0</v>
      </c>
      <c r="AI200" s="891">
        <f t="shared" si="118"/>
        <v>268</v>
      </c>
      <c r="AJ200" s="890">
        <f t="shared" si="118"/>
        <v>0</v>
      </c>
      <c r="AK200" s="890">
        <f t="shared" si="118"/>
        <v>0</v>
      </c>
      <c r="AL200" s="890">
        <f t="shared" si="118"/>
        <v>0</v>
      </c>
      <c r="AM200" s="890">
        <f t="shared" si="118"/>
        <v>58.29</v>
      </c>
      <c r="AN200" s="890">
        <f t="shared" si="118"/>
        <v>0</v>
      </c>
      <c r="AO200" s="891">
        <f>SUM(AO177:AO199)</f>
        <v>160.80000000000001</v>
      </c>
      <c r="AP200" s="890">
        <f t="shared" si="118"/>
        <v>0</v>
      </c>
      <c r="AQ200" s="2658">
        <f t="shared" si="118"/>
        <v>0</v>
      </c>
      <c r="AR200" s="890">
        <f t="shared" si="118"/>
        <v>0</v>
      </c>
      <c r="AS200" s="890">
        <f t="shared" si="118"/>
        <v>33.5</v>
      </c>
      <c r="AT200" s="892">
        <f t="shared" si="118"/>
        <v>0</v>
      </c>
      <c r="AU200" s="671">
        <f>'Beer Data Sheet'!Z57</f>
        <v>375</v>
      </c>
      <c r="AV200" s="663">
        <f>'Beer Data Sheet'!AA57</f>
        <v>1</v>
      </c>
      <c r="AW200" s="721">
        <f>'Beer Data Sheet'!AD57</f>
        <v>0</v>
      </c>
      <c r="AX200" s="725">
        <f t="shared" si="105"/>
        <v>0</v>
      </c>
      <c r="AY200" s="695">
        <f t="shared" si="106"/>
        <v>0</v>
      </c>
      <c r="AZ200" s="695">
        <f t="shared" si="107"/>
        <v>0</v>
      </c>
      <c r="BA200" s="453"/>
    </row>
    <row r="201" spans="1:53" ht="15.75" customHeight="1">
      <c r="A201" s="5261"/>
      <c r="B201" s="2691" t="str">
        <f>'Beer Data Sheet'!Y58</f>
        <v>Brown sugar (light)</v>
      </c>
      <c r="C201" s="2336"/>
      <c r="D201" s="819" t="s">
        <v>40</v>
      </c>
      <c r="E201" s="2342">
        <f t="shared" si="108"/>
        <v>0</v>
      </c>
      <c r="F201" s="2342">
        <f t="shared" si="109"/>
        <v>0</v>
      </c>
      <c r="G201" s="5268" t="s">
        <v>154</v>
      </c>
      <c r="H201" s="5269"/>
      <c r="I201" s="3320">
        <v>15.25</v>
      </c>
      <c r="J201" s="4545" t="s">
        <v>1887</v>
      </c>
      <c r="K201" s="5270"/>
      <c r="L201" s="5270"/>
      <c r="M201" s="5270"/>
      <c r="N201" s="5271"/>
      <c r="O201" s="3327">
        <v>17</v>
      </c>
      <c r="P201" s="4546" t="s">
        <v>1888</v>
      </c>
      <c r="Q201" s="5275"/>
      <c r="R201" s="5275"/>
      <c r="S201" s="5275"/>
      <c r="T201" s="5276"/>
      <c r="U201" s="3332">
        <v>7</v>
      </c>
      <c r="V201" s="4551" t="s">
        <v>1889</v>
      </c>
      <c r="W201" s="5280"/>
      <c r="X201" s="5280"/>
      <c r="Y201" s="5280"/>
      <c r="Z201" s="5281"/>
      <c r="AA201" s="5285" t="s">
        <v>1794</v>
      </c>
      <c r="AB201" s="617"/>
      <c r="AC201" s="626"/>
      <c r="AD201" s="626"/>
      <c r="AE201" s="626"/>
      <c r="AF201" s="626"/>
      <c r="AG201" s="626"/>
      <c r="AH201" s="626"/>
      <c r="AI201" s="626"/>
      <c r="AJ201" s="626"/>
      <c r="AK201" s="626"/>
      <c r="AL201" s="626"/>
      <c r="AM201" s="626"/>
      <c r="AN201" s="626"/>
      <c r="AO201" s="690" t="s">
        <v>732</v>
      </c>
      <c r="AP201" s="690">
        <f>SUM(U177:Z199)</f>
        <v>29</v>
      </c>
      <c r="AQ201" s="2659"/>
      <c r="AR201" s="820"/>
      <c r="AS201" s="820"/>
      <c r="AT201" s="663"/>
      <c r="AU201" s="671">
        <f>'Beer Data Sheet'!Z58</f>
        <v>370</v>
      </c>
      <c r="AV201" s="663">
        <f>'Beer Data Sheet'!AA58</f>
        <v>1</v>
      </c>
      <c r="AW201" s="721">
        <f>'Beer Data Sheet'!AD58</f>
        <v>16</v>
      </c>
      <c r="AX201" s="725">
        <f t="shared" si="105"/>
        <v>0</v>
      </c>
      <c r="AY201" s="695">
        <f t="shared" si="106"/>
        <v>0</v>
      </c>
      <c r="AZ201" s="695">
        <f t="shared" si="107"/>
        <v>0</v>
      </c>
      <c r="BA201" s="453"/>
    </row>
    <row r="202" spans="1:53" ht="15.75" customHeight="1">
      <c r="A202" s="5261"/>
      <c r="B202" s="2691" t="str">
        <f>'Beer Data Sheet'!Y59</f>
        <v>Brown sugar (medium)</v>
      </c>
      <c r="C202" s="2336"/>
      <c r="D202" s="819" t="s">
        <v>40</v>
      </c>
      <c r="E202" s="2342">
        <f t="shared" si="108"/>
        <v>0</v>
      </c>
      <c r="F202" s="2342">
        <f t="shared" si="109"/>
        <v>0</v>
      </c>
      <c r="G202" s="5286" t="s">
        <v>160</v>
      </c>
      <c r="H202" s="5287"/>
      <c r="I202" s="3321">
        <f>1000+SUM(AX185:AX202)/I201</f>
        <v>1072.122950819672</v>
      </c>
      <c r="J202" s="5272"/>
      <c r="K202" s="5273"/>
      <c r="L202" s="5273"/>
      <c r="M202" s="5273"/>
      <c r="N202" s="5274"/>
      <c r="O202" s="3328">
        <f>1000+SUM(AX185:AX199)/O201</f>
        <v>1064.6985294117646</v>
      </c>
      <c r="P202" s="5277"/>
      <c r="Q202" s="5278"/>
      <c r="R202" s="5278"/>
      <c r="S202" s="5278"/>
      <c r="T202" s="5279"/>
      <c r="U202" s="3333">
        <v>1000</v>
      </c>
      <c r="V202" s="5282"/>
      <c r="W202" s="5283"/>
      <c r="X202" s="5283"/>
      <c r="Y202" s="5283"/>
      <c r="Z202" s="5284"/>
      <c r="AA202" s="5285"/>
      <c r="AB202" s="617"/>
      <c r="AC202" s="663"/>
      <c r="AD202" s="663"/>
      <c r="AE202" s="663"/>
      <c r="AF202" s="663"/>
      <c r="AG202" s="663"/>
      <c r="AH202" s="626"/>
      <c r="AI202" s="626"/>
      <c r="AJ202" s="626"/>
      <c r="AK202" s="626"/>
      <c r="AL202" s="626"/>
      <c r="AM202" s="626"/>
      <c r="AN202" s="626"/>
      <c r="AO202" s="663" t="s">
        <v>733</v>
      </c>
      <c r="AP202" s="820">
        <f>AP201/12.3</f>
        <v>2.3577235772357721</v>
      </c>
      <c r="AQ202" s="692"/>
      <c r="AR202" s="626"/>
      <c r="AS202" s="626"/>
      <c r="AT202" s="626"/>
      <c r="AU202" s="671">
        <f>'Beer Data Sheet'!Z59</f>
        <v>370</v>
      </c>
      <c r="AV202" s="663">
        <f>'Beer Data Sheet'!AA59</f>
        <v>1</v>
      </c>
      <c r="AW202" s="721">
        <f>'Beer Data Sheet'!AD59</f>
        <v>45</v>
      </c>
      <c r="AX202" s="725">
        <f t="shared" si="105"/>
        <v>0</v>
      </c>
      <c r="AY202" s="695">
        <f t="shared" si="106"/>
        <v>0</v>
      </c>
      <c r="AZ202" s="695">
        <f t="shared" si="107"/>
        <v>0</v>
      </c>
      <c r="BA202" s="453"/>
    </row>
    <row r="203" spans="1:53" ht="15.75" customHeight="1">
      <c r="A203" s="5262"/>
      <c r="B203" s="2691" t="str">
        <f>'Beer Data Sheet'!Y60</f>
        <v>Brewing sugar</v>
      </c>
      <c r="C203" s="2336"/>
      <c r="D203" s="819" t="s">
        <v>40</v>
      </c>
      <c r="E203" s="2342">
        <f t="shared" si="108"/>
        <v>0</v>
      </c>
      <c r="F203" s="2342">
        <f t="shared" si="109"/>
        <v>0</v>
      </c>
      <c r="G203" s="5288" t="s">
        <v>163</v>
      </c>
      <c r="H203" s="5289"/>
      <c r="I203" s="3322">
        <v>90</v>
      </c>
      <c r="J203" s="1869">
        <v>60</v>
      </c>
      <c r="K203" s="1869">
        <v>45</v>
      </c>
      <c r="L203" s="1869">
        <v>30</v>
      </c>
      <c r="M203" s="1869">
        <v>15</v>
      </c>
      <c r="N203" s="1869">
        <v>0</v>
      </c>
      <c r="O203" s="3329">
        <v>60</v>
      </c>
      <c r="P203" s="1868">
        <f>J203</f>
        <v>60</v>
      </c>
      <c r="Q203" s="1868">
        <f>K203</f>
        <v>45</v>
      </c>
      <c r="R203" s="1868">
        <f>L203</f>
        <v>30</v>
      </c>
      <c r="S203" s="1868">
        <f>M203</f>
        <v>15</v>
      </c>
      <c r="T203" s="1868">
        <f>N203</f>
        <v>0</v>
      </c>
      <c r="U203" s="1870">
        <v>45</v>
      </c>
      <c r="V203" s="1869">
        <f>P203</f>
        <v>60</v>
      </c>
      <c r="W203" s="1869">
        <f>Q203</f>
        <v>45</v>
      </c>
      <c r="X203" s="1869">
        <f>R203</f>
        <v>30</v>
      </c>
      <c r="Y203" s="1869">
        <f>S203</f>
        <v>15</v>
      </c>
      <c r="Z203" s="1869">
        <f>T203</f>
        <v>0</v>
      </c>
      <c r="AA203" s="5285"/>
      <c r="AB203" s="617"/>
      <c r="AC203" s="663"/>
      <c r="AD203" s="663"/>
      <c r="AE203" s="663"/>
      <c r="AF203" s="663"/>
      <c r="AG203" s="663"/>
      <c r="AH203" s="626"/>
      <c r="AI203" s="626"/>
      <c r="AJ203" s="626"/>
      <c r="AK203" s="626"/>
      <c r="AL203" s="626"/>
      <c r="AM203" s="626"/>
      <c r="AN203" s="626"/>
      <c r="AO203" s="663"/>
      <c r="AP203" s="851"/>
      <c r="AQ203" s="851" t="s">
        <v>344</v>
      </c>
      <c r="AR203" s="851"/>
      <c r="AS203" s="851"/>
      <c r="AT203" s="851"/>
      <c r="AU203" s="671">
        <f>'Beer Data Sheet'!Z60</f>
        <v>360</v>
      </c>
      <c r="AV203" s="663">
        <f>'Beer Data Sheet'!AA60</f>
        <v>0.95</v>
      </c>
      <c r="AW203" s="721">
        <f>'Beer Data Sheet'!AD60</f>
        <v>0</v>
      </c>
      <c r="AX203" s="725">
        <f t="shared" si="105"/>
        <v>0</v>
      </c>
      <c r="AY203" s="695">
        <f t="shared" si="106"/>
        <v>0</v>
      </c>
      <c r="AZ203" s="695">
        <f t="shared" si="107"/>
        <v>0</v>
      </c>
      <c r="BA203" s="453"/>
    </row>
    <row r="204" spans="1:53" ht="15.75" customHeight="1">
      <c r="A204" s="5263"/>
      <c r="B204" s="3577" t="str">
        <f>'Beer Data Sheet'!Y61</f>
        <v>Lactose (non-fermentable sugar, no boil)</v>
      </c>
      <c r="C204" s="2336"/>
      <c r="D204" s="2538" t="s">
        <v>40</v>
      </c>
      <c r="E204" s="2342">
        <f t="shared" si="108"/>
        <v>0</v>
      </c>
      <c r="F204" s="3470">
        <f t="shared" si="109"/>
        <v>0</v>
      </c>
      <c r="G204" s="5290" t="s">
        <v>165</v>
      </c>
      <c r="H204" s="5291"/>
      <c r="I204" s="3323">
        <f>$I205*AC200/(I201*10)</f>
        <v>35.544037198019687</v>
      </c>
      <c r="J204" s="821">
        <f>J205*AD200/(I201*10)</f>
        <v>0</v>
      </c>
      <c r="K204" s="821">
        <f>K205*AE200/(I201*10)</f>
        <v>0</v>
      </c>
      <c r="L204" s="821">
        <f>L205*AF200/(I201*10)</f>
        <v>0</v>
      </c>
      <c r="M204" s="821">
        <f>M205*AG200/(I201*10)</f>
        <v>3.5860437417044806</v>
      </c>
      <c r="N204" s="822">
        <f>N205*AH200/(I201*10)</f>
        <v>0</v>
      </c>
      <c r="O204" s="3330">
        <f>O205*AI200/(O201*10)</f>
        <v>31.863696302027819</v>
      </c>
      <c r="P204" s="910">
        <f>P205*AJ200/(O201*10)</f>
        <v>0</v>
      </c>
      <c r="Q204" s="910">
        <f>Q205*AK200/(O201*10)</f>
        <v>0</v>
      </c>
      <c r="R204" s="910">
        <f>R205*AL200/(O201*10)</f>
        <v>0</v>
      </c>
      <c r="S204" s="910">
        <f>S205*AM200/(O201*10)</f>
        <v>3.438861538460467</v>
      </c>
      <c r="T204" s="911">
        <f>T205*AN200/(O201*10)</f>
        <v>0</v>
      </c>
      <c r="U204" s="823">
        <f>U205*AO200/(U201*10)</f>
        <v>76.235077100533104</v>
      </c>
      <c r="V204" s="821">
        <f>V205*AP200/(U201*10)</f>
        <v>0</v>
      </c>
      <c r="W204" s="822">
        <f>W205*AQ200/(U201*10)</f>
        <v>0</v>
      </c>
      <c r="X204" s="822">
        <f>X205*AR200/(U201*10)</f>
        <v>0</v>
      </c>
      <c r="Y204" s="822">
        <f>Y205*AS200/(U201*10)</f>
        <v>8.5850040670921484</v>
      </c>
      <c r="Z204" s="822">
        <f>Z205*AT200/(U201*10)</f>
        <v>0</v>
      </c>
      <c r="AA204" s="5285"/>
      <c r="AB204" s="617"/>
      <c r="AC204" s="626"/>
      <c r="AD204" s="626"/>
      <c r="AE204" s="626"/>
      <c r="AF204" s="626"/>
      <c r="AG204" s="626"/>
      <c r="AH204" s="663">
        <f>(I206+J206+K206+L206+M206+N206+(I200*'Beer Data Sheet'!R16*'Beer Data Sheet'!T16/('Beer Data Sheet'!O16*C183)))/AY212</f>
        <v>0.51700508730480177</v>
      </c>
      <c r="AI204" s="663"/>
      <c r="AJ204" s="626"/>
      <c r="AK204" s="626"/>
      <c r="AL204" s="626"/>
      <c r="AM204" s="626"/>
      <c r="AN204" s="626"/>
      <c r="AO204" s="663"/>
      <c r="AP204" s="852">
        <v>1</v>
      </c>
      <c r="AQ204" s="895">
        <v>1</v>
      </c>
      <c r="AR204" s="853">
        <f>L217*60+M217</f>
        <v>540</v>
      </c>
      <c r="AS204" s="853">
        <f>N217*60+O217</f>
        <v>540</v>
      </c>
      <c r="AT204" s="853">
        <f>P217*60+Q217</f>
        <v>540</v>
      </c>
      <c r="AU204" s="671">
        <f>'Beer Data Sheet'!Z61</f>
        <v>380</v>
      </c>
      <c r="AV204" s="663">
        <f>'Beer Data Sheet'!AA61</f>
        <v>0</v>
      </c>
      <c r="AW204" s="721">
        <f>'Beer Data Sheet'!AD61</f>
        <v>30</v>
      </c>
      <c r="AX204" s="725">
        <f t="shared" si="105"/>
        <v>0</v>
      </c>
      <c r="AY204" s="695">
        <f t="shared" si="106"/>
        <v>0</v>
      </c>
      <c r="AZ204" s="695">
        <f t="shared" si="107"/>
        <v>0</v>
      </c>
      <c r="BA204" s="453"/>
    </row>
    <row r="205" spans="1:53" ht="15.75" customHeight="1">
      <c r="A205" s="492"/>
      <c r="B205" s="2735" t="s">
        <v>677</v>
      </c>
      <c r="C205" s="2736">
        <f>C183*C206+($AU$200*C200*AV200+$AU$201*C201*AV201+$AU$202*C202*AV202+$AU$203*C203*AV203)/375</f>
        <v>144.9</v>
      </c>
      <c r="D205" s="5292" t="str">
        <f>"g = "&amp;FIXED(100*((SUM(F200:F206)/SUM(F185:F206))),1)&amp;"% of the fermentable sugars. ▼"</f>
        <v>g = 4.7% of the fermentable sugars. ▼</v>
      </c>
      <c r="E205" s="4197"/>
      <c r="F205" s="5293"/>
      <c r="G205" s="5294" t="s">
        <v>1678</v>
      </c>
      <c r="H205" s="5295"/>
      <c r="I205" s="3324">
        <f>165*POWER(0.000125,0.001*(I202-1000))*(1-EXP(-0.04*I203))/4.15</f>
        <v>20.225618181708963</v>
      </c>
      <c r="J205" s="824">
        <f>165*POWER(0.000125,0.001*(I202-1000))*(1-EXP(-0.04*J203))/4.15</f>
        <v>18.907412384440146</v>
      </c>
      <c r="K205" s="824">
        <f>165*POWER(0.000125,0.001*(I202-1000))*(1-EXP(-0.04*K203))/4.15</f>
        <v>17.356592704362878</v>
      </c>
      <c r="L205" s="824">
        <f>165*POWER(0.000125,0.001*(I202-1000))*(1-EXP(-0.04*L203))/4.15</f>
        <v>14.530815009278504</v>
      </c>
      <c r="M205" s="824">
        <f>165*POWER(0.000125,0.001*(I202-1000))*(1-EXP(-0.04*M203))/4.15</f>
        <v>9.3819123453411102</v>
      </c>
      <c r="N205" s="825">
        <f>165*POWER(0.000125,0.001*(I202-1000))*(1-EXP(-0.04*N203))/4.15</f>
        <v>0</v>
      </c>
      <c r="O205" s="3331">
        <f>165*POWER(0.000125,0.001*(O202-1000))*(1-EXP(-0.04*O203))/4.15</f>
        <v>20.212046161734065</v>
      </c>
      <c r="P205" s="824">
        <f>165*POWER(0.000125,0.001*(O202-1000))*(1-EXP(-0.04*P203))/4.15</f>
        <v>20.212046161734065</v>
      </c>
      <c r="Q205" s="824">
        <f>165*POWER(0.000125,0.001*(O202-1000))*(1-EXP(-0.04*Q203))/4.15</f>
        <v>18.554218092778267</v>
      </c>
      <c r="R205" s="824">
        <f>165*POWER(0.000125,0.001*(O202-1000))*(1-EXP(-0.04*R203))/4.15</f>
        <v>15.533458400518819</v>
      </c>
      <c r="S205" s="824">
        <f>165*POWER(0.000125,0.001*(O202-1000))*(1-EXP(-0.04*S203))/4.15</f>
        <v>10.029275373791034</v>
      </c>
      <c r="T205" s="825">
        <f>165*POWER(0.000125,0.001*(O202-1000))*(1-EXP(-0.04*T203))/4.15</f>
        <v>0</v>
      </c>
      <c r="U205" s="826">
        <f>165*POWER(0.000125,0.001*(U202-1000))*(1-EXP(-0.04*U203))/4.15</f>
        <v>33.186911673117642</v>
      </c>
      <c r="V205" s="824">
        <f>165*POWER(0.000125,0.001*(U202-1000))*(1-EXP(-0.04*V203))/4.15</f>
        <v>36.152177760782394</v>
      </c>
      <c r="W205" s="825">
        <f>165*POWER(0.000125,0.001*(U202-1000))*(1-EXP(-0.04*W203))/4.15</f>
        <v>33.186911673117642</v>
      </c>
      <c r="X205" s="825">
        <f>165*POWER(0.000125,0.001*(U202-1000))*(1-EXP(-0.04*X203))/4.15</f>
        <v>27.783844586623285</v>
      </c>
      <c r="Y205" s="825">
        <f>165*POWER(0.000125,0.001*(U202-1000))*(1-EXP(-0.04*Y203))/4.15</f>
        <v>17.938814468550756</v>
      </c>
      <c r="Z205" s="825">
        <f>165*POWER(0.000125,0.001*(U202-1000))*(1-EXP(-0.04*Z203))/4.15</f>
        <v>0</v>
      </c>
      <c r="AA205" s="5285"/>
      <c r="AB205" s="617"/>
      <c r="AC205" s="626"/>
      <c r="AD205" s="626"/>
      <c r="AE205" s="626"/>
      <c r="AF205" s="626"/>
      <c r="AG205" s="626"/>
      <c r="AH205" s="663">
        <f>(O206+P206+Q206+R206+S206+T206+(I200*'Beer Data Sheet'!R16*'Beer Data Sheet'!T16/('Beer Data Sheet'!O16*C183)))/AY212</f>
        <v>0.51995926511651958</v>
      </c>
      <c r="AI205" s="663"/>
      <c r="AJ205" s="626"/>
      <c r="AK205" s="626"/>
      <c r="AL205" s="626"/>
      <c r="AM205" s="626"/>
      <c r="AN205" s="626"/>
      <c r="AO205" s="663"/>
      <c r="AP205" s="852">
        <v>2</v>
      </c>
      <c r="AQ205" s="895">
        <v>2</v>
      </c>
      <c r="AR205" s="853">
        <f>AR210-J203</f>
        <v>570</v>
      </c>
      <c r="AS205" s="853">
        <f>AS210-P203</f>
        <v>540</v>
      </c>
      <c r="AT205" s="853">
        <f>AT210-V203</f>
        <v>525</v>
      </c>
      <c r="AU205" s="850"/>
      <c r="AV205" s="626"/>
      <c r="AW205" s="626"/>
      <c r="AX205" s="799"/>
      <c r="AY205" s="741"/>
      <c r="AZ205" s="741"/>
      <c r="BA205" s="453"/>
    </row>
    <row r="206" spans="1:53" ht="15.75" customHeight="1">
      <c r="A206" s="626"/>
      <c r="B206" s="3182" t="str">
        <f>"Priming sugar (sucrose) g/litre, 1 level tsp  = "&amp;'Beer Data Sheet'!O$20&amp;"g)"</f>
        <v>Priming sugar (sucrose) g/litre, 1 level tsp  = 3.15g)</v>
      </c>
      <c r="C206" s="2337">
        <v>6.3</v>
      </c>
      <c r="D206" s="827" t="str">
        <f>"g = "&amp;FIXED(C206/'Beer Data Sheet'!$O$20)&amp;" tsp."</f>
        <v>g = 2.00 tsp.</v>
      </c>
      <c r="E206" s="2343">
        <f>100*(C206*C183/E207)</f>
        <v>2.8722075759678094</v>
      </c>
      <c r="F206" s="2344">
        <f>AY206*100/F$207</f>
        <v>4.7077552876961564</v>
      </c>
      <c r="G206" s="5296" t="s">
        <v>734</v>
      </c>
      <c r="H206" s="5297"/>
      <c r="I206" s="3325">
        <f>I204*I201/C183</f>
        <v>23.567242055208705</v>
      </c>
      <c r="J206" s="829">
        <f>J204*I201/C183</f>
        <v>0</v>
      </c>
      <c r="K206" s="829">
        <f>K204*I201/C183</f>
        <v>0</v>
      </c>
      <c r="L206" s="829">
        <f>L204*I201/C183</f>
        <v>0</v>
      </c>
      <c r="M206" s="829">
        <f>M204*I201/C183</f>
        <v>2.3777029156953624</v>
      </c>
      <c r="N206" s="830">
        <f>N204*I201/C183</f>
        <v>0</v>
      </c>
      <c r="O206" s="3325">
        <f>O204*O201/C183</f>
        <v>23.551427701498824</v>
      </c>
      <c r="P206" s="829">
        <f>P204*O201/C183</f>
        <v>0</v>
      </c>
      <c r="Q206" s="830">
        <f>Q204*O201/C183</f>
        <v>0</v>
      </c>
      <c r="R206" s="830">
        <f>R204*O201/C183</f>
        <v>0</v>
      </c>
      <c r="S206" s="830">
        <f>S204*O201/C183</f>
        <v>2.5417672240794755</v>
      </c>
      <c r="T206" s="830">
        <f>T204*O201/C183</f>
        <v>0</v>
      </c>
      <c r="U206" s="828">
        <f>U204*U201/C183</f>
        <v>23.201979987118772</v>
      </c>
      <c r="V206" s="829">
        <f>V204*U201/C183</f>
        <v>0</v>
      </c>
      <c r="W206" s="829">
        <f>W204*U201/C183</f>
        <v>0</v>
      </c>
      <c r="X206" s="830">
        <f>X204*U201/C183</f>
        <v>0</v>
      </c>
      <c r="Y206" s="830">
        <f>Y204*U201/C183</f>
        <v>2.6128273247671756</v>
      </c>
      <c r="Z206" s="830">
        <f>Z204*U201/C183</f>
        <v>0</v>
      </c>
      <c r="AA206" s="5285"/>
      <c r="AB206" s="617"/>
      <c r="AC206" s="626"/>
      <c r="AD206" s="626"/>
      <c r="AE206" s="626"/>
      <c r="AF206" s="626"/>
      <c r="AG206" s="626"/>
      <c r="AH206" s="663">
        <f>(U206+V206+W206+X206+Y206+Z206+(I200*'Beer Data Sheet'!R16*'Beer Data Sheet'!T16/('Beer Data Sheet'!O16*C183)))/AY212</f>
        <v>0.51441183332651197</v>
      </c>
      <c r="AI206" s="626"/>
      <c r="AJ206" s="663"/>
      <c r="AK206" s="663"/>
      <c r="AL206" s="663"/>
      <c r="AM206" s="626"/>
      <c r="AN206" s="626"/>
      <c r="AO206" s="663"/>
      <c r="AP206" s="852">
        <v>3</v>
      </c>
      <c r="AQ206" s="895">
        <v>3</v>
      </c>
      <c r="AR206" s="853">
        <f>AR210-K203</f>
        <v>585</v>
      </c>
      <c r="AS206" s="853">
        <f>AS210-Q203</f>
        <v>555</v>
      </c>
      <c r="AT206" s="853">
        <f>AT210-W203</f>
        <v>540</v>
      </c>
      <c r="AU206" s="850"/>
      <c r="AV206" s="683"/>
      <c r="AW206" s="683"/>
      <c r="AX206" s="671"/>
      <c r="AY206" s="684">
        <f>0.001*375*C206*C183</f>
        <v>54.337499999999999</v>
      </c>
      <c r="AZ206" s="684"/>
      <c r="BA206" s="453"/>
    </row>
    <row r="207" spans="1:53" ht="15.75" customHeight="1">
      <c r="A207" s="492"/>
      <c r="B207" s="2060" t="s">
        <v>1757</v>
      </c>
      <c r="C207" s="2338" t="str">
        <f>FIXED(C206*'Beer Data Sheet'!AF$3+VLOOKUP(L9,'Beer Data Sheet'!AE6:AF49,2))</f>
        <v>2.53</v>
      </c>
      <c r="D207" s="831" t="s">
        <v>678</v>
      </c>
      <c r="E207" s="2546">
        <f>SUM(C185:C204)+C206*C183</f>
        <v>5044.8999999999996</v>
      </c>
      <c r="F207" s="2547">
        <f>SUM(AX185:AX205)+AY206</f>
        <v>1154.2125000000001</v>
      </c>
      <c r="G207" s="5298" t="s">
        <v>736</v>
      </c>
      <c r="H207" s="5299"/>
      <c r="I207" s="5300" t="str">
        <f>FIXED((U206+J206+K206+L206+M206+N206),1)&amp;" ̸ "&amp;FIXED(I200*'Beer Data Sheet'!R16*'Beer Data Sheet'!T16/('Beer Data Sheet'!O16*C183),1)&amp;" EBU"</f>
        <v>25.6 ̸ 0.0 EBU</v>
      </c>
      <c r="J207" s="5301"/>
      <c r="K207" s="5302"/>
      <c r="L207" s="5302"/>
      <c r="M207" s="5301"/>
      <c r="N207" s="5303"/>
      <c r="O207" s="5300" t="str">
        <f>FIXED((O206+P206+Q206+R206+S206+T206),1)&amp;" ̸ "&amp;FIXED(O200*'Beer Data Sheet'!R16*'Beer Data Sheet'!T16/('Beer Data Sheet'!O16*C183),1)&amp;" EBU"</f>
        <v>26.1 ̸ 0.0 EBU</v>
      </c>
      <c r="P207" s="5301"/>
      <c r="Q207" s="5304"/>
      <c r="R207" s="5301"/>
      <c r="S207" s="5301"/>
      <c r="T207" s="5303"/>
      <c r="U207" s="5300" t="str">
        <f>FIXED((U206+V206+W206+X206+Y206+Z206),1)&amp;" ̸ "&amp;FIXED(U200*'Beer Data Sheet'!R16*'Beer Data Sheet'!T16/('Beer Data Sheet'!O16*C183),1)&amp;" EBU"</f>
        <v>25.8 ̸ 0.0 EBU</v>
      </c>
      <c r="V207" s="5301"/>
      <c r="W207" s="5305"/>
      <c r="X207" s="5305"/>
      <c r="Y207" s="5305"/>
      <c r="Z207" s="5303"/>
      <c r="AA207" s="5285"/>
      <c r="AB207" s="617"/>
      <c r="AC207" s="692"/>
      <c r="AD207" s="692"/>
      <c r="AE207" s="692"/>
      <c r="AF207" s="692"/>
      <c r="AG207" s="692"/>
      <c r="AH207" s="702">
        <f>0.01*$AC$53*(C175-C176)/(7.75-(3*(C175-1000)/800))</f>
        <v>0.28111616070817846</v>
      </c>
      <c r="AI207" s="696" t="s">
        <v>33</v>
      </c>
      <c r="AJ207" s="692"/>
      <c r="AK207" s="692"/>
      <c r="AL207" s="692"/>
      <c r="AM207" s="626"/>
      <c r="AN207" s="626"/>
      <c r="AO207" s="663"/>
      <c r="AP207" s="852">
        <v>4</v>
      </c>
      <c r="AQ207" s="895">
        <v>4</v>
      </c>
      <c r="AR207" s="853">
        <f>AR210-L203</f>
        <v>600</v>
      </c>
      <c r="AS207" s="853">
        <f>AS210-R203</f>
        <v>570</v>
      </c>
      <c r="AT207" s="853">
        <f>AT210-X203</f>
        <v>555</v>
      </c>
      <c r="AU207" s="850"/>
      <c r="AV207" s="626"/>
      <c r="AW207" s="626"/>
      <c r="AX207" s="739"/>
      <c r="AY207" s="684"/>
      <c r="AZ207" s="684"/>
      <c r="BA207" s="453"/>
    </row>
    <row r="208" spans="1:53" ht="15.75" customHeight="1">
      <c r="A208" s="492"/>
      <c r="B208" s="902" t="s">
        <v>708</v>
      </c>
      <c r="C208" s="2233">
        <v>75</v>
      </c>
      <c r="D208" s="1811" t="s">
        <v>738</v>
      </c>
      <c r="E208" s="2548" t="str">
        <f>"Check "&amp;SUM(E185:E206)&amp;"%"</f>
        <v>Check 100%</v>
      </c>
      <c r="F208" s="2549" t="str">
        <f>SUM(F185:F206)&amp;"%"</f>
        <v>100%</v>
      </c>
      <c r="G208" s="5306" t="s">
        <v>355</v>
      </c>
      <c r="H208" s="5307"/>
      <c r="I208" s="5308" t="str">
        <f>FIXED((I206+J206+K206+L206+M206+N206),1)+FIXED(I200*'Beer Data Sheet'!R16*'Beer Data Sheet'!T16/('Beer Data Sheet'!O16*C183),2)&amp;" EBU"</f>
        <v>25.9 EBU</v>
      </c>
      <c r="J208" s="5309"/>
      <c r="K208" s="5309"/>
      <c r="L208" s="5309"/>
      <c r="M208" s="5309"/>
      <c r="N208" s="5310"/>
      <c r="O208" s="5311" t="str">
        <f>FIXED((O206+P206+Q206+R206+S206+T206),1)+FIXED(O200*'Beer Data Sheet'!R16*'Beer Data Sheet'!T16/('Beer Data Sheet'!O16*C183),2)&amp;" EBU"</f>
        <v>26.1 EBU</v>
      </c>
      <c r="P208" s="5312"/>
      <c r="Q208" s="5312"/>
      <c r="R208" s="5312"/>
      <c r="S208" s="5312"/>
      <c r="T208" s="5313"/>
      <c r="U208" s="5314" t="str">
        <f>FIXED((U206+V206+W206+X206+Y206+Z206),1)+FIXED(U200*'Beer Data Sheet'!R16*'Beer Data Sheet'!T16/('Beer Data Sheet'!O16*C183),1)&amp;" EBU"</f>
        <v>25.8 EBU</v>
      </c>
      <c r="V208" s="5315"/>
      <c r="W208" s="5315"/>
      <c r="X208" s="5315"/>
      <c r="Y208" s="5315"/>
      <c r="Z208" s="5316"/>
      <c r="AA208" s="5285"/>
      <c r="AB208" s="617"/>
      <c r="AC208" s="690"/>
      <c r="AD208" s="690"/>
      <c r="AE208" s="690"/>
      <c r="AF208" s="690"/>
      <c r="AG208" s="690"/>
      <c r="AH208" s="702">
        <f>0.00000001*C176*((1000*C175)/$AC$53+(819.2*C176)-1000400)</f>
        <v>0.18434970992787023</v>
      </c>
      <c r="AI208" s="696" t="s">
        <v>33</v>
      </c>
      <c r="AJ208" s="692"/>
      <c r="AK208" s="692"/>
      <c r="AL208" s="692"/>
      <c r="AM208" s="626"/>
      <c r="AN208" s="626"/>
      <c r="AO208" s="663"/>
      <c r="AP208" s="852">
        <v>5</v>
      </c>
      <c r="AQ208" s="895">
        <v>5</v>
      </c>
      <c r="AR208" s="853">
        <f>AR210-M203</f>
        <v>615</v>
      </c>
      <c r="AS208" s="853">
        <f>AS210-S203</f>
        <v>585</v>
      </c>
      <c r="AT208" s="853">
        <f>AT210-Y203</f>
        <v>570</v>
      </c>
      <c r="AU208" s="692"/>
      <c r="AV208" s="692"/>
      <c r="AW208" s="692"/>
      <c r="AX208" s="693" t="s">
        <v>683</v>
      </c>
      <c r="AY208" s="695">
        <f>SUM(AY185:AY199)/(C183)</f>
        <v>35.865489130434781</v>
      </c>
      <c r="AZ208" s="695"/>
      <c r="BA208" s="453"/>
    </row>
    <row r="209" spans="1:53" ht="15.75" customHeight="1">
      <c r="A209" s="903"/>
      <c r="B209" s="2055" t="s">
        <v>1714</v>
      </c>
      <c r="C209" s="2339" t="str">
        <f>FIXED((100*(1-(AY215/AY213))),1)&amp;"%"</f>
        <v>75.0%</v>
      </c>
      <c r="D209" s="5317" t="s">
        <v>1746</v>
      </c>
      <c r="E209" s="5318"/>
      <c r="F209" s="2436" t="str">
        <f>FIXED(100*(1-(((0.1808*AY213)+(0.8192*AY215))/AY213)),1)&amp;"%"</f>
        <v>61.4%</v>
      </c>
      <c r="G209" s="5319" t="s">
        <v>1796</v>
      </c>
      <c r="H209" s="5320"/>
      <c r="I209" s="5321" t="str">
        <f>"The actual BU ̸ GU ratio = "&amp;FIXED(AH204)</f>
        <v>The actual BU ̸ GU ratio = 0.52</v>
      </c>
      <c r="J209" s="5322"/>
      <c r="K209" s="5322"/>
      <c r="L209" s="5322"/>
      <c r="M209" s="5322"/>
      <c r="N209" s="5323"/>
      <c r="O209" s="5324" t="str">
        <f>"The actual BU ̸ GU ratio = "&amp;FIXED(AH205)</f>
        <v>The actual BU ̸ GU ratio = 0.52</v>
      </c>
      <c r="P209" s="5325"/>
      <c r="Q209" s="5325"/>
      <c r="R209" s="5325"/>
      <c r="S209" s="5325"/>
      <c r="T209" s="5326"/>
      <c r="U209" s="5327" t="str">
        <f>"The actual BU ̸ GU ratio = "&amp;FIXED(AH206)</f>
        <v>The actual BU ̸ GU ratio = 0.51</v>
      </c>
      <c r="V209" s="5327"/>
      <c r="W209" s="5327"/>
      <c r="X209" s="5327"/>
      <c r="Y209" s="5327"/>
      <c r="Z209" s="5328"/>
      <c r="AA209" s="5285"/>
      <c r="AB209" s="617"/>
      <c r="AC209" s="692"/>
      <c r="AD209" s="692"/>
      <c r="AE209" s="692"/>
      <c r="AF209" s="692"/>
      <c r="AG209" s="692"/>
      <c r="AH209" s="692"/>
      <c r="AI209" s="692"/>
      <c r="AJ209" s="692"/>
      <c r="AK209" s="692"/>
      <c r="AL209" s="692"/>
      <c r="AM209" s="626"/>
      <c r="AN209" s="626"/>
      <c r="AO209" s="663"/>
      <c r="AP209" s="852" t="s">
        <v>305</v>
      </c>
      <c r="AQ209" s="895">
        <v>6</v>
      </c>
      <c r="AR209" s="853">
        <f>AR210-Z203</f>
        <v>630</v>
      </c>
      <c r="AS209" s="853">
        <f>AS210-T203</f>
        <v>600</v>
      </c>
      <c r="AT209" s="853">
        <f>AT210-Z203</f>
        <v>585</v>
      </c>
      <c r="AU209" s="692"/>
      <c r="AV209" s="692"/>
      <c r="AW209" s="692"/>
      <c r="AX209" s="693" t="s">
        <v>685</v>
      </c>
      <c r="AY209" s="832">
        <f>(1.079*(SUM(AY200:AY206)/C183))</f>
        <v>2.5491374999999996</v>
      </c>
      <c r="AZ209" s="833"/>
      <c r="BA209" s="453"/>
    </row>
    <row r="210" spans="1:53" ht="15.75" customHeight="1">
      <c r="A210" s="903"/>
      <c r="B210" s="903"/>
      <c r="C210" s="903"/>
      <c r="D210" s="903"/>
      <c r="E210" s="903"/>
      <c r="F210" s="903"/>
      <c r="G210" s="903"/>
      <c r="H210" s="903"/>
      <c r="I210" s="5343" t="str">
        <f>"which is classed as """&amp;IF(AH204&gt;0.81,"Too Hoppy?",IF(AH204&gt;0.65,"Very Hoppy",IF(AH204&gt;0.55,"Slightly Hoppy",IF(AH204&gt;0.45,"Balanced",IF(AH204&gt;0.35,"Slightly Malty",IF(AH204&gt;0.25,"Very Malty",IF((AH204+0.001)&gt;0,"Too Malty?")))))))&amp;""""</f>
        <v>which is classed as "Balanced"</v>
      </c>
      <c r="J210" s="5343"/>
      <c r="K210" s="5343"/>
      <c r="L210" s="5343"/>
      <c r="M210" s="5343"/>
      <c r="N210" s="5343"/>
      <c r="O210" s="5343" t="str">
        <f>"which is classed as """&amp;IF(AH205&gt;0.81,"Too Hoppy?",IF(AH205&gt;0.65,"Very Hoppy",IF(AH205&gt;0.55,"Slightly Hoppy",IF(AH205&gt;0.45,"Balanced",IF(AH205&gt;0.35,"Slightly Malty",IF(AH205&gt;0.25,"Very Malty",IF((AH205+0.001)&gt;0,"Too Malty?")))))))&amp;""""</f>
        <v>which is classed as "Balanced"</v>
      </c>
      <c r="P210" s="5343"/>
      <c r="Q210" s="5343"/>
      <c r="R210" s="5343"/>
      <c r="S210" s="5343"/>
      <c r="T210" s="5343"/>
      <c r="U210" s="5344" t="str">
        <f>"which is classed as """&amp;IF(AH206&gt;0.81,"Too Hoppy?",IF(AH206&gt;0.65,"Very Hoppy",IF(AH206&gt;0.55,"Slightly Hoppy",IF(AH206&gt;0.45,"Balanced",IF(AH206&gt;0.35,"Slightly Malty",IF(AH206&gt;0.25,"Very Malty",IF((AH206+0.001)&gt;0,"Too Malty?")))))))&amp;""""</f>
        <v>which is classed as "Balanced"</v>
      </c>
      <c r="V210" s="5344"/>
      <c r="W210" s="5344"/>
      <c r="X210" s="5344"/>
      <c r="Y210" s="5344"/>
      <c r="Z210" s="5344"/>
      <c r="AA210" s="5285"/>
      <c r="AB210" s="617"/>
      <c r="AC210" s="626"/>
      <c r="AD210" s="626"/>
      <c r="AE210" s="626"/>
      <c r="AF210" s="626"/>
      <c r="AG210" s="626"/>
      <c r="AH210" s="626"/>
      <c r="AI210" s="626"/>
      <c r="AJ210" s="626"/>
      <c r="AK210" s="626"/>
      <c r="AL210" s="626"/>
      <c r="AM210" s="626"/>
      <c r="AN210" s="626"/>
      <c r="AO210" s="663"/>
      <c r="AP210" s="896" t="s">
        <v>172</v>
      </c>
      <c r="AQ210" s="1810"/>
      <c r="AR210" s="854">
        <f>AR204+I203</f>
        <v>630</v>
      </c>
      <c r="AS210" s="854">
        <f>AS204+O203</f>
        <v>600</v>
      </c>
      <c r="AT210" s="854">
        <f>AT204+U203</f>
        <v>585</v>
      </c>
      <c r="AU210" s="626"/>
      <c r="AV210" s="626"/>
      <c r="AW210" s="626"/>
      <c r="AX210" s="693" t="s">
        <v>710</v>
      </c>
      <c r="AY210" s="684">
        <f>(1.079*(SUM(AY200:AY204))/C183)</f>
        <v>0</v>
      </c>
      <c r="AZ210" s="741"/>
      <c r="BA210" s="453"/>
    </row>
    <row r="211" spans="1:53" ht="15.75" customHeight="1">
      <c r="A211" s="903"/>
      <c r="B211" s="904"/>
      <c r="C211" s="626"/>
      <c r="D211" s="904"/>
      <c r="E211" s="904"/>
      <c r="F211" s="904"/>
      <c r="G211" s="905"/>
      <c r="H211" s="905"/>
      <c r="I211" s="5345" t="str">
        <f>"Boil in "&amp;FIXED(I201,2)&amp;" litres water (cell I201 ) for "&amp; I203&amp;" minutes (cell I203)"</f>
        <v>Boil in 15.25 litres water (cell I201 ) for 90 minutes (cell I203)</v>
      </c>
      <c r="J211" s="5345"/>
      <c r="K211" s="5345"/>
      <c r="L211" s="5345"/>
      <c r="M211" s="5345"/>
      <c r="N211" s="5345"/>
      <c r="O211" s="5347" t="str">
        <f>"Boil in "&amp;FIXED(O201,2)&amp;"  litres (cell O197) for "&amp;O203&amp;" minutes (cell O203)"</f>
        <v>Boil in 17.00  litres (cell O197) for 60 minutes (cell O203)</v>
      </c>
      <c r="P211" s="5347"/>
      <c r="Q211" s="5347"/>
      <c r="R211" s="5347"/>
      <c r="S211" s="5347"/>
      <c r="T211" s="5347"/>
      <c r="U211" s="5349" t="str">
        <f>"Boil in "&amp;U201&amp;" litres water ( cell U195 - "&amp;FIXED(0.1+AP202,1)&amp;" litres minimum) for "&amp;U203&amp;" min. (cell U197)"</f>
        <v>Boil in 7 litres water ( cell U195 - 2.5 litres minimum) for 45 min. (cell U197)</v>
      </c>
      <c r="V211" s="5349"/>
      <c r="W211" s="5349"/>
      <c r="X211" s="5349"/>
      <c r="Y211" s="5349"/>
      <c r="Z211" s="5349"/>
      <c r="AA211" s="5285"/>
      <c r="AB211" s="617"/>
      <c r="AC211" s="692"/>
      <c r="AD211" s="692"/>
      <c r="AE211" s="692"/>
      <c r="AF211" s="692"/>
      <c r="AG211" s="692"/>
      <c r="AH211" s="692"/>
      <c r="AI211" s="692"/>
      <c r="AJ211" s="692"/>
      <c r="AK211" s="692"/>
      <c r="AL211" s="692"/>
      <c r="AM211" s="692"/>
      <c r="AN211" s="692"/>
      <c r="AO211" s="692"/>
      <c r="AP211" s="692"/>
      <c r="AQ211" s="692"/>
      <c r="AR211" s="692"/>
      <c r="AS211" s="692"/>
      <c r="AT211" s="692"/>
      <c r="AU211" s="692"/>
      <c r="AV211" s="692"/>
      <c r="AW211" s="692"/>
      <c r="AX211" s="425" t="s">
        <v>207</v>
      </c>
      <c r="AY211" s="694"/>
      <c r="AZ211" s="695"/>
      <c r="BA211" s="453"/>
    </row>
    <row r="212" spans="1:53" ht="15.75" customHeight="1">
      <c r="A212" s="454"/>
      <c r="B212" s="454"/>
      <c r="C212" s="454"/>
      <c r="D212" s="454"/>
      <c r="E212" s="454"/>
      <c r="F212" s="454"/>
      <c r="G212" s="454"/>
      <c r="H212" s="454"/>
      <c r="I212" s="5346"/>
      <c r="J212" s="5346"/>
      <c r="K212" s="5346"/>
      <c r="L212" s="5346"/>
      <c r="M212" s="5346"/>
      <c r="N212" s="5346"/>
      <c r="O212" s="5348"/>
      <c r="P212" s="5348"/>
      <c r="Q212" s="5348"/>
      <c r="R212" s="5348"/>
      <c r="S212" s="5348"/>
      <c r="T212" s="5348"/>
      <c r="U212" s="5350"/>
      <c r="V212" s="5350"/>
      <c r="W212" s="5350"/>
      <c r="X212" s="5350"/>
      <c r="Y212" s="5350"/>
      <c r="Z212" s="5350"/>
      <c r="AA212" s="5285"/>
      <c r="AB212" s="617"/>
      <c r="AC212" s="834"/>
      <c r="AD212" s="834"/>
      <c r="AE212" s="834"/>
      <c r="AF212" s="834"/>
      <c r="AG212" s="834"/>
      <c r="AH212" s="834"/>
      <c r="AI212" s="834"/>
      <c r="AJ212" s="834"/>
      <c r="AK212" s="834"/>
      <c r="AL212" s="834"/>
      <c r="AM212" s="834"/>
      <c r="AN212" s="834"/>
      <c r="AO212" s="834"/>
      <c r="AP212" s="834"/>
      <c r="AQ212" s="834"/>
      <c r="AR212" s="834"/>
      <c r="AS212" s="834"/>
      <c r="AT212" s="834"/>
      <c r="AU212" s="834"/>
      <c r="AV212" s="834"/>
      <c r="AW212" s="834"/>
      <c r="AX212" s="699" t="s">
        <v>689</v>
      </c>
      <c r="AY212" s="835">
        <f>(C206*0.375*C183+SUM(AX185:AX204))/C183</f>
        <v>50.183152173913051</v>
      </c>
      <c r="AZ212" s="835" t="s">
        <v>192</v>
      </c>
      <c r="BA212" s="453"/>
    </row>
    <row r="213" spans="1:53" ht="15.75" customHeight="1">
      <c r="A213" s="454"/>
      <c r="B213" s="5329"/>
      <c r="C213" s="5329"/>
      <c r="D213" s="5329"/>
      <c r="E213" s="5329"/>
      <c r="F213" s="5329"/>
      <c r="G213" s="5329"/>
      <c r="H213" s="906"/>
      <c r="I213" s="5330" t="s">
        <v>748</v>
      </c>
      <c r="J213" s="5331"/>
      <c r="K213" s="5331"/>
      <c r="L213" s="5331"/>
      <c r="M213" s="5331"/>
      <c r="N213" s="5331"/>
      <c r="O213" s="5331"/>
      <c r="P213" s="5331"/>
      <c r="Q213" s="5331"/>
      <c r="R213" s="5331"/>
      <c r="S213" s="5331"/>
      <c r="T213" s="5331"/>
      <c r="U213" s="5331"/>
      <c r="V213" s="5331"/>
      <c r="W213" s="5331"/>
      <c r="X213" s="5331"/>
      <c r="Y213" s="5331"/>
      <c r="Z213" s="5332"/>
      <c r="AA213" s="5285"/>
      <c r="AB213" s="836"/>
      <c r="AC213" s="692"/>
      <c r="AD213" s="837"/>
      <c r="AE213" s="837"/>
      <c r="AF213" s="837"/>
      <c r="AG213" s="837"/>
      <c r="AH213" s="692"/>
      <c r="AI213" s="692"/>
      <c r="AJ213" s="692"/>
      <c r="AK213" s="692"/>
      <c r="AL213" s="692"/>
      <c r="AM213" s="692"/>
      <c r="AN213" s="692"/>
      <c r="AO213" s="838"/>
      <c r="AP213" s="839"/>
      <c r="AQ213" s="839"/>
      <c r="AR213" s="839"/>
      <c r="AS213" s="839"/>
      <c r="AT213" s="692"/>
      <c r="AU213" s="840"/>
      <c r="AV213" s="692"/>
      <c r="AW213" s="692"/>
      <c r="AX213" s="704" t="s">
        <v>690</v>
      </c>
      <c r="AY213" s="700">
        <f>SUM(AX185:AX204)/C183</f>
        <v>47.820652173913047</v>
      </c>
      <c r="AZ213" s="700" t="s">
        <v>192</v>
      </c>
      <c r="BA213" s="453"/>
    </row>
    <row r="214" spans="1:53" ht="16.5" customHeight="1">
      <c r="A214" s="454"/>
      <c r="B214" s="5333" t="s">
        <v>739</v>
      </c>
      <c r="C214" s="5333"/>
      <c r="D214" s="5333"/>
      <c r="E214" s="5333"/>
      <c r="F214" s="5333"/>
      <c r="G214" s="5333"/>
      <c r="H214" s="906"/>
      <c r="I214" s="907"/>
      <c r="J214" s="907"/>
      <c r="K214" s="907"/>
      <c r="L214" s="907"/>
      <c r="M214" s="907"/>
      <c r="N214" s="907"/>
      <c r="O214" s="907"/>
      <c r="P214" s="907"/>
      <c r="Q214" s="907"/>
      <c r="R214" s="2673"/>
      <c r="S214" s="2673"/>
      <c r="T214" s="2673"/>
      <c r="U214" s="2673"/>
      <c r="V214" s="2673"/>
      <c r="W214" s="907"/>
      <c r="X214" s="907"/>
      <c r="Y214" s="907"/>
      <c r="Z214" s="1564"/>
      <c r="AA214" s="2018"/>
      <c r="AB214" s="866"/>
      <c r="AC214" s="842"/>
      <c r="AD214" s="842"/>
      <c r="AE214" s="842"/>
      <c r="AF214" s="842"/>
      <c r="AG214" s="842"/>
      <c r="AH214" s="842"/>
      <c r="AI214" s="842"/>
      <c r="AJ214" s="842"/>
      <c r="AK214" s="842"/>
      <c r="AL214" s="842"/>
      <c r="AM214" s="842"/>
      <c r="AN214" s="842"/>
      <c r="AO214" s="842"/>
      <c r="AP214" s="842"/>
      <c r="AQ214" s="842"/>
      <c r="AR214" s="842"/>
      <c r="AS214" s="842"/>
      <c r="AT214" s="842"/>
      <c r="AU214" s="842"/>
      <c r="AV214" s="692"/>
      <c r="AW214" s="692"/>
      <c r="AX214" s="699" t="s">
        <v>693</v>
      </c>
      <c r="AY214" s="700">
        <f>(AY212-AY208-AY209)</f>
        <v>11.768525543478269</v>
      </c>
      <c r="AZ214" s="700" t="s">
        <v>216</v>
      </c>
      <c r="BA214" s="453"/>
    </row>
    <row r="215" spans="1:53" ht="14.25" customHeight="1">
      <c r="A215" s="626"/>
      <c r="B215" s="2674"/>
      <c r="C215" s="2674"/>
      <c r="D215" s="2674"/>
      <c r="E215" s="2674"/>
      <c r="F215" s="2674"/>
      <c r="G215" s="453"/>
      <c r="H215" s="453"/>
      <c r="I215" s="5334" t="s">
        <v>156</v>
      </c>
      <c r="J215" s="5335"/>
      <c r="K215" s="5336"/>
      <c r="L215" s="5337" t="s">
        <v>157</v>
      </c>
      <c r="M215" s="5338"/>
      <c r="N215" s="5339" t="s">
        <v>158</v>
      </c>
      <c r="O215" s="5340"/>
      <c r="P215" s="5341" t="s">
        <v>159</v>
      </c>
      <c r="Q215" s="5342"/>
      <c r="R215" s="454"/>
      <c r="S215" s="5018" t="s">
        <v>1753</v>
      </c>
      <c r="T215" s="5018"/>
      <c r="U215" s="786"/>
      <c r="V215" s="453"/>
      <c r="W215" s="453"/>
      <c r="X215" s="555"/>
      <c r="Y215" s="555"/>
      <c r="Z215" s="555"/>
      <c r="AA215" s="453"/>
      <c r="AB215" s="836"/>
      <c r="AC215" s="692"/>
      <c r="AD215" s="692"/>
      <c r="AE215" s="692"/>
      <c r="AF215" s="692"/>
      <c r="AG215" s="692"/>
      <c r="AH215" s="692"/>
      <c r="AI215" s="692"/>
      <c r="AJ215" s="692"/>
      <c r="AK215" s="692"/>
      <c r="AL215" s="692"/>
      <c r="AM215" s="692"/>
      <c r="AN215" s="692"/>
      <c r="AO215" s="843"/>
      <c r="AP215" s="839"/>
      <c r="AQ215" s="839"/>
      <c r="AR215" s="839"/>
      <c r="AS215" s="839"/>
      <c r="AT215" s="692"/>
      <c r="AU215" s="692"/>
      <c r="AV215" s="626"/>
      <c r="AW215" s="626"/>
      <c r="AX215" s="756" t="s">
        <v>692</v>
      </c>
      <c r="AY215" s="684">
        <f>(AY213-(0.375*P210*C183)/C183-AY208-AY210)</f>
        <v>11.955163043478265</v>
      </c>
      <c r="AZ215" s="626"/>
      <c r="BA215" s="453"/>
    </row>
    <row r="216" spans="1:53" ht="15" customHeight="1">
      <c r="A216" s="844"/>
      <c r="B216" s="5365" t="s">
        <v>740</v>
      </c>
      <c r="C216" s="5365"/>
      <c r="D216" s="5365"/>
      <c r="E216" s="5365"/>
      <c r="F216" s="5365"/>
      <c r="G216" s="453"/>
      <c r="H216" s="453"/>
      <c r="I216" s="2672"/>
      <c r="J216" s="3535"/>
      <c r="K216" s="2678"/>
      <c r="L216" s="2835" t="s">
        <v>1791</v>
      </c>
      <c r="M216" s="2840" t="s">
        <v>1792</v>
      </c>
      <c r="N216" s="2841" t="s">
        <v>1791</v>
      </c>
      <c r="O216" s="2840" t="s">
        <v>1792</v>
      </c>
      <c r="P216" s="2841" t="s">
        <v>1791</v>
      </c>
      <c r="Q216" s="2837" t="s">
        <v>1792</v>
      </c>
      <c r="R216" s="2018"/>
      <c r="S216" s="5366"/>
      <c r="T216" s="5367"/>
      <c r="U216" s="5367"/>
      <c r="V216" s="5367"/>
      <c r="W216" s="5367"/>
      <c r="X216" s="5367"/>
      <c r="Y216" s="5367"/>
      <c r="Z216" s="5367"/>
      <c r="AA216" s="5368"/>
      <c r="AB216" s="453"/>
      <c r="AC216" s="692"/>
      <c r="AD216" s="692"/>
      <c r="AE216" s="692"/>
      <c r="AF216" s="692"/>
      <c r="AG216" s="692"/>
      <c r="AH216" s="692"/>
      <c r="AI216" s="692"/>
      <c r="AJ216" s="692"/>
      <c r="AK216" s="692"/>
      <c r="AL216" s="692"/>
      <c r="AM216" s="692"/>
      <c r="AN216" s="692"/>
      <c r="AO216" s="843"/>
      <c r="AP216" s="839"/>
      <c r="AQ216" s="839"/>
      <c r="AR216" s="839"/>
      <c r="AS216" s="839"/>
      <c r="AT216" s="692"/>
      <c r="AU216" s="692"/>
      <c r="AV216" s="692"/>
      <c r="AW216" s="692"/>
      <c r="AX216" s="699"/>
      <c r="AY216" s="700"/>
      <c r="AZ216" s="700"/>
      <c r="BA216" s="453"/>
    </row>
    <row r="217" spans="1:53" ht="15" customHeight="1">
      <c r="A217" s="844"/>
      <c r="B217" s="2675"/>
      <c r="C217" s="453"/>
      <c r="D217" s="638"/>
      <c r="E217" s="638"/>
      <c r="F217" s="638"/>
      <c r="G217" s="638"/>
      <c r="H217" s="453"/>
      <c r="I217" s="5375" t="s">
        <v>161</v>
      </c>
      <c r="J217" s="5376"/>
      <c r="K217" s="5377"/>
      <c r="L217" s="2847">
        <v>9</v>
      </c>
      <c r="M217" s="2850">
        <v>0</v>
      </c>
      <c r="N217" s="2851">
        <f>L217</f>
        <v>9</v>
      </c>
      <c r="O217" s="2823">
        <f>M217</f>
        <v>0</v>
      </c>
      <c r="P217" s="2842">
        <f>N217</f>
        <v>9</v>
      </c>
      <c r="Q217" s="2838">
        <f>O217</f>
        <v>0</v>
      </c>
      <c r="R217" s="454"/>
      <c r="S217" s="5369"/>
      <c r="T217" s="5370"/>
      <c r="U217" s="5370"/>
      <c r="V217" s="5370"/>
      <c r="W217" s="5370"/>
      <c r="X217" s="5370"/>
      <c r="Y217" s="5370"/>
      <c r="Z217" s="5370"/>
      <c r="AA217" s="5371"/>
      <c r="AB217" s="453"/>
      <c r="AC217" s="692"/>
      <c r="AD217" s="692"/>
      <c r="AE217" s="692"/>
      <c r="AF217" s="692"/>
      <c r="AG217" s="692"/>
      <c r="AH217" s="692"/>
      <c r="AI217" s="692"/>
      <c r="AJ217" s="692"/>
      <c r="AK217" s="692"/>
      <c r="AL217" s="692"/>
      <c r="AM217" s="692"/>
      <c r="AN217" s="692"/>
      <c r="AO217" s="692"/>
      <c r="AP217" s="692"/>
      <c r="AQ217" s="692"/>
      <c r="AR217" s="692"/>
      <c r="AS217" s="692"/>
      <c r="AT217" s="692"/>
      <c r="AU217" s="692"/>
      <c r="AV217" s="692"/>
      <c r="AW217" s="692"/>
      <c r="AX217" s="692"/>
      <c r="AY217" s="692"/>
      <c r="AZ217" s="692"/>
      <c r="BA217" s="453"/>
    </row>
    <row r="218" spans="1:53" ht="15" customHeight="1">
      <c r="A218" s="844"/>
      <c r="B218" s="2867" t="s">
        <v>1756</v>
      </c>
      <c r="C218" s="3804">
        <v>500</v>
      </c>
      <c r="D218" s="638"/>
      <c r="E218" s="453"/>
      <c r="F218" s="453"/>
      <c r="G218" s="453"/>
      <c r="H218" s="453"/>
      <c r="I218" s="5378" t="s">
        <v>1786</v>
      </c>
      <c r="J218" s="5379"/>
      <c r="K218" s="5380"/>
      <c r="L218" s="2836">
        <f t="shared" ref="L218:L223" si="119">INT(AR205/60)</f>
        <v>9</v>
      </c>
      <c r="M218" s="2825">
        <f t="shared" ref="M218:M223" si="120">60*(MOD(AR205/60,60)-L218)</f>
        <v>30</v>
      </c>
      <c r="N218" s="2843">
        <f t="shared" ref="N218:N223" si="121">INT(AS205/60)</f>
        <v>9</v>
      </c>
      <c r="O218" s="2825">
        <f t="shared" ref="O218:O223" si="122">60*(MOD(AS205/60,60)-N218)</f>
        <v>0</v>
      </c>
      <c r="P218" s="2843">
        <f t="shared" ref="P218:P223" si="123">INT(AT205/60)</f>
        <v>8</v>
      </c>
      <c r="Q218" s="548">
        <f t="shared" ref="Q218:Q223" si="124">60*(MOD(AT205/60,60)-P218)</f>
        <v>45</v>
      </c>
      <c r="R218" s="2018"/>
      <c r="S218" s="5369"/>
      <c r="T218" s="5370"/>
      <c r="U218" s="5370"/>
      <c r="V218" s="5370"/>
      <c r="W218" s="5370"/>
      <c r="X218" s="5370"/>
      <c r="Y218" s="5370"/>
      <c r="Z218" s="5370"/>
      <c r="AA218" s="5371"/>
      <c r="AB218" s="453"/>
      <c r="AC218" s="626"/>
      <c r="AD218" s="626"/>
      <c r="AE218" s="626"/>
      <c r="AF218" s="626"/>
      <c r="AG218" s="626"/>
      <c r="AH218" s="626"/>
      <c r="AI218" s="626"/>
      <c r="AJ218" s="626"/>
      <c r="AK218" s="626"/>
      <c r="AL218" s="626"/>
      <c r="AM218" s="626"/>
      <c r="AN218" s="626"/>
      <c r="AO218" s="626"/>
      <c r="AP218" s="626"/>
      <c r="AQ218" s="626"/>
      <c r="AR218" s="626"/>
      <c r="AS218" s="626"/>
      <c r="AT218" s="626"/>
      <c r="AU218" s="626"/>
      <c r="AV218" s="626"/>
      <c r="AW218" s="626"/>
      <c r="AX218" s="626"/>
      <c r="AY218" s="626"/>
      <c r="AZ218" s="626"/>
      <c r="BA218" s="453"/>
    </row>
    <row r="219" spans="1:53" ht="15" customHeight="1">
      <c r="A219" s="844"/>
      <c r="B219" s="2868" t="s">
        <v>32</v>
      </c>
      <c r="C219" s="2708">
        <f>$AH$207*C218</f>
        <v>140.55808035408924</v>
      </c>
      <c r="D219" s="638"/>
      <c r="E219" s="453"/>
      <c r="F219" s="453"/>
      <c r="G219" s="453"/>
      <c r="H219" s="453"/>
      <c r="I219" s="5378" t="s">
        <v>1787</v>
      </c>
      <c r="J219" s="5379"/>
      <c r="K219" s="5380"/>
      <c r="L219" s="2836">
        <f t="shared" si="119"/>
        <v>9</v>
      </c>
      <c r="M219" s="2825">
        <f t="shared" si="120"/>
        <v>45</v>
      </c>
      <c r="N219" s="2843">
        <f t="shared" si="121"/>
        <v>9</v>
      </c>
      <c r="O219" s="2825">
        <f t="shared" si="122"/>
        <v>15</v>
      </c>
      <c r="P219" s="2843">
        <f t="shared" si="123"/>
        <v>9</v>
      </c>
      <c r="Q219" s="548">
        <f t="shared" si="124"/>
        <v>0</v>
      </c>
      <c r="R219" s="454"/>
      <c r="S219" s="5369"/>
      <c r="T219" s="5370"/>
      <c r="U219" s="5370"/>
      <c r="V219" s="5370"/>
      <c r="W219" s="5370"/>
      <c r="X219" s="5370"/>
      <c r="Y219" s="5370"/>
      <c r="Z219" s="5370"/>
      <c r="AA219" s="5371"/>
      <c r="AB219" s="453"/>
      <c r="AC219" s="626"/>
      <c r="AD219" s="626"/>
      <c r="AE219" s="626"/>
      <c r="AF219" s="626"/>
      <c r="AG219" s="626"/>
      <c r="AH219" s="626"/>
      <c r="AI219" s="626"/>
      <c r="AJ219" s="626"/>
      <c r="AK219" s="626"/>
      <c r="AL219" s="626"/>
      <c r="AM219" s="626"/>
      <c r="AN219" s="626"/>
      <c r="AO219" s="626"/>
      <c r="AP219" s="626"/>
      <c r="AQ219" s="626"/>
      <c r="AR219" s="626"/>
      <c r="AS219" s="626"/>
      <c r="AT219" s="626"/>
      <c r="AU219" s="626"/>
      <c r="AV219" s="626"/>
      <c r="AW219" s="626"/>
      <c r="AX219" s="626"/>
      <c r="AY219" s="626"/>
      <c r="AZ219" s="626"/>
      <c r="BA219" s="453"/>
    </row>
    <row r="220" spans="1:53" ht="15" customHeight="1">
      <c r="A220" s="844"/>
      <c r="B220" s="2869" t="s">
        <v>728</v>
      </c>
      <c r="C220" s="2708">
        <f>$AH$208*C218</f>
        <v>92.174854963935118</v>
      </c>
      <c r="D220" s="638"/>
      <c r="E220" s="453"/>
      <c r="F220" s="453"/>
      <c r="G220" s="453"/>
      <c r="H220" s="453"/>
      <c r="I220" s="5378" t="s">
        <v>1788</v>
      </c>
      <c r="J220" s="5379"/>
      <c r="K220" s="5380"/>
      <c r="L220" s="2836">
        <f t="shared" si="119"/>
        <v>10</v>
      </c>
      <c r="M220" s="2825">
        <f t="shared" si="120"/>
        <v>0</v>
      </c>
      <c r="N220" s="2843">
        <f t="shared" si="121"/>
        <v>9</v>
      </c>
      <c r="O220" s="2825">
        <f t="shared" si="122"/>
        <v>30</v>
      </c>
      <c r="P220" s="2843">
        <f t="shared" si="123"/>
        <v>9</v>
      </c>
      <c r="Q220" s="548">
        <f t="shared" si="124"/>
        <v>15</v>
      </c>
      <c r="R220" s="2018"/>
      <c r="S220" s="5369"/>
      <c r="T220" s="5370"/>
      <c r="U220" s="5370"/>
      <c r="V220" s="5370"/>
      <c r="W220" s="5370"/>
      <c r="X220" s="5370"/>
      <c r="Y220" s="5370"/>
      <c r="Z220" s="5370"/>
      <c r="AA220" s="5371"/>
      <c r="AB220" s="453"/>
      <c r="AC220" s="626"/>
      <c r="AD220" s="626"/>
      <c r="AE220" s="626"/>
      <c r="AF220" s="626"/>
      <c r="AG220" s="626"/>
      <c r="AH220" s="626"/>
      <c r="AI220" s="626"/>
      <c r="AJ220" s="626"/>
      <c r="AK220" s="626"/>
      <c r="AL220" s="626"/>
      <c r="AM220" s="626"/>
      <c r="AN220" s="626"/>
      <c r="AO220" s="626"/>
      <c r="AP220" s="626"/>
      <c r="AQ220" s="626"/>
      <c r="AR220" s="626"/>
      <c r="AS220" s="626"/>
      <c r="AT220" s="626"/>
      <c r="AU220" s="626"/>
      <c r="AV220" s="626"/>
      <c r="AW220" s="626"/>
      <c r="AX220" s="626"/>
      <c r="AY220" s="626"/>
      <c r="AZ220" s="626"/>
      <c r="BA220" s="453"/>
    </row>
    <row r="221" spans="1:53" ht="15" customHeight="1">
      <c r="A221" s="844"/>
      <c r="B221" s="2870" t="s">
        <v>37</v>
      </c>
      <c r="C221" s="2709">
        <f>SUM(C219:C220)</f>
        <v>232.73293531802437</v>
      </c>
      <c r="D221" s="638"/>
      <c r="E221" s="453"/>
      <c r="F221" s="453"/>
      <c r="G221" s="453"/>
      <c r="H221" s="453"/>
      <c r="I221" s="5378" t="s">
        <v>1789</v>
      </c>
      <c r="J221" s="5379"/>
      <c r="K221" s="5380"/>
      <c r="L221" s="2836">
        <f t="shared" si="119"/>
        <v>10</v>
      </c>
      <c r="M221" s="2825">
        <f t="shared" si="120"/>
        <v>15</v>
      </c>
      <c r="N221" s="2843">
        <f t="shared" si="121"/>
        <v>9</v>
      </c>
      <c r="O221" s="2825">
        <f t="shared" si="122"/>
        <v>45</v>
      </c>
      <c r="P221" s="2843">
        <f t="shared" si="123"/>
        <v>9</v>
      </c>
      <c r="Q221" s="548">
        <f t="shared" si="124"/>
        <v>30</v>
      </c>
      <c r="R221" s="454"/>
      <c r="S221" s="5369"/>
      <c r="T221" s="5370"/>
      <c r="U221" s="5370"/>
      <c r="V221" s="5370"/>
      <c r="W221" s="5370"/>
      <c r="X221" s="5370"/>
      <c r="Y221" s="5370"/>
      <c r="Z221" s="5370"/>
      <c r="AA221" s="5371"/>
      <c r="AB221" s="453"/>
      <c r="AC221" s="626"/>
      <c r="AD221" s="626"/>
      <c r="AE221" s="626"/>
      <c r="AF221" s="626"/>
      <c r="AG221" s="626"/>
      <c r="AH221" s="626"/>
      <c r="AI221" s="626"/>
      <c r="AJ221" s="626"/>
      <c r="AK221" s="626"/>
      <c r="AL221" s="626"/>
      <c r="AM221" s="626"/>
      <c r="AN221" s="626"/>
      <c r="AO221" s="626"/>
      <c r="AP221" s="626"/>
      <c r="AQ221" s="626"/>
      <c r="AR221" s="626"/>
      <c r="AS221" s="626"/>
      <c r="AT221" s="626"/>
      <c r="AU221" s="626"/>
      <c r="AV221" s="626"/>
      <c r="AW221" s="626"/>
      <c r="AX221" s="626"/>
      <c r="AY221" s="626"/>
      <c r="AZ221" s="626"/>
      <c r="BA221" s="453"/>
    </row>
    <row r="222" spans="1:53" ht="15" customHeight="1">
      <c r="A222" s="844"/>
      <c r="B222" s="2869" t="s">
        <v>665</v>
      </c>
      <c r="C222" s="2710">
        <f>C220/3.85</f>
        <v>23.941520769853277</v>
      </c>
      <c r="D222" s="638"/>
      <c r="E222" s="453"/>
      <c r="F222" s="453"/>
      <c r="G222" s="453"/>
      <c r="H222" s="453"/>
      <c r="I222" s="5378" t="s">
        <v>742</v>
      </c>
      <c r="J222" s="5379"/>
      <c r="K222" s="5380"/>
      <c r="L222" s="2848">
        <f t="shared" si="119"/>
        <v>10</v>
      </c>
      <c r="M222" s="2852">
        <f t="shared" si="120"/>
        <v>30</v>
      </c>
      <c r="N222" s="2853">
        <f t="shared" si="121"/>
        <v>10</v>
      </c>
      <c r="O222" s="2844">
        <f t="shared" si="122"/>
        <v>0</v>
      </c>
      <c r="P222" s="2845">
        <f t="shared" si="123"/>
        <v>9</v>
      </c>
      <c r="Q222" s="2839">
        <f t="shared" si="124"/>
        <v>45</v>
      </c>
      <c r="R222" s="2018"/>
      <c r="S222" s="5369"/>
      <c r="T222" s="5370"/>
      <c r="U222" s="5370"/>
      <c r="V222" s="5370"/>
      <c r="W222" s="5370"/>
      <c r="X222" s="5370"/>
      <c r="Y222" s="5370"/>
      <c r="Z222" s="5370"/>
      <c r="AA222" s="5371"/>
      <c r="AB222" s="453"/>
      <c r="AC222" s="626"/>
      <c r="AD222" s="626"/>
      <c r="AE222" s="626"/>
      <c r="AF222" s="626"/>
      <c r="AG222" s="626"/>
      <c r="AH222" s="626"/>
      <c r="AI222" s="626"/>
      <c r="AJ222" s="626"/>
      <c r="AK222" s="626"/>
      <c r="AL222" s="626"/>
      <c r="AM222" s="626"/>
      <c r="AN222" s="626"/>
      <c r="AO222" s="626"/>
      <c r="AP222" s="626"/>
      <c r="AQ222" s="626"/>
      <c r="AR222" s="626"/>
      <c r="AS222" s="626"/>
      <c r="AT222" s="626"/>
      <c r="AU222" s="626"/>
      <c r="AV222" s="626"/>
      <c r="AW222" s="626"/>
      <c r="AX222" s="626"/>
      <c r="AY222" s="626"/>
      <c r="AZ222" s="626"/>
      <c r="BA222" s="453"/>
    </row>
    <row r="223" spans="1:53" ht="15" customHeight="1">
      <c r="A223" s="844"/>
      <c r="B223" s="2869" t="s">
        <v>47</v>
      </c>
      <c r="C223" s="2711">
        <f>C224*C218/1000</f>
        <v>2.5400407097698072</v>
      </c>
      <c r="D223" s="638"/>
      <c r="E223" s="453"/>
      <c r="F223" s="453"/>
      <c r="G223" s="453"/>
      <c r="H223" s="453"/>
      <c r="I223" s="5375" t="s">
        <v>735</v>
      </c>
      <c r="J223" s="5376"/>
      <c r="K223" s="5377"/>
      <c r="L223" s="2849">
        <f t="shared" si="119"/>
        <v>10</v>
      </c>
      <c r="M223" s="2859">
        <f t="shared" si="120"/>
        <v>30</v>
      </c>
      <c r="N223" s="2846">
        <f t="shared" si="121"/>
        <v>10</v>
      </c>
      <c r="O223" s="2833">
        <f t="shared" si="122"/>
        <v>0</v>
      </c>
      <c r="P223" s="2846">
        <f t="shared" si="123"/>
        <v>9</v>
      </c>
      <c r="Q223" s="430">
        <f t="shared" si="124"/>
        <v>45</v>
      </c>
      <c r="R223" s="454"/>
      <c r="S223" s="5369"/>
      <c r="T223" s="5370"/>
      <c r="U223" s="5370"/>
      <c r="V223" s="5370"/>
      <c r="W223" s="5370"/>
      <c r="X223" s="5370"/>
      <c r="Y223" s="5370"/>
      <c r="Z223" s="5370"/>
      <c r="AA223" s="5371"/>
      <c r="AB223" s="453"/>
      <c r="AC223" s="626"/>
      <c r="AD223" s="626"/>
      <c r="AE223" s="626"/>
      <c r="AF223" s="626"/>
      <c r="AG223" s="626"/>
      <c r="AH223" s="626"/>
      <c r="AI223" s="626"/>
      <c r="AJ223" s="626"/>
      <c r="AK223" s="626"/>
      <c r="AL223" s="626"/>
      <c r="AM223" s="626"/>
      <c r="AN223" s="626"/>
      <c r="AO223" s="626"/>
      <c r="AP223" s="626"/>
      <c r="AQ223" s="626"/>
      <c r="AR223" s="626"/>
      <c r="AS223" s="626"/>
      <c r="AT223" s="626"/>
      <c r="AU223" s="626"/>
      <c r="AV223" s="626"/>
      <c r="AW223" s="626"/>
      <c r="AX223" s="626"/>
      <c r="AY223" s="626"/>
      <c r="AZ223" s="626"/>
      <c r="BA223" s="453"/>
    </row>
    <row r="224" spans="1:53" ht="15" customHeight="1">
      <c r="A224" s="844"/>
      <c r="B224" s="2871" t="s">
        <v>661</v>
      </c>
      <c r="C224" s="2712">
        <f>C177</f>
        <v>5.0800814195396145</v>
      </c>
      <c r="D224" s="638"/>
      <c r="E224" s="453"/>
      <c r="F224" s="453"/>
      <c r="G224" s="453"/>
      <c r="H224" s="453"/>
      <c r="I224" s="5381" t="s">
        <v>737</v>
      </c>
      <c r="J224" s="5382"/>
      <c r="K224" s="5383"/>
      <c r="L224" s="2807">
        <f>I203</f>
        <v>90</v>
      </c>
      <c r="M224" s="2671" t="s">
        <v>174</v>
      </c>
      <c r="N224" s="2807">
        <f>O203</f>
        <v>60</v>
      </c>
      <c r="O224" s="2671" t="s">
        <v>174</v>
      </c>
      <c r="P224" s="2807">
        <f>U203</f>
        <v>45</v>
      </c>
      <c r="Q224" s="2671" t="s">
        <v>174</v>
      </c>
      <c r="R224" s="2018"/>
      <c r="S224" s="5369"/>
      <c r="T224" s="5370"/>
      <c r="U224" s="5370"/>
      <c r="V224" s="5370"/>
      <c r="W224" s="5370"/>
      <c r="X224" s="5370"/>
      <c r="Y224" s="5370"/>
      <c r="Z224" s="5370"/>
      <c r="AA224" s="5371"/>
      <c r="AB224" s="453"/>
      <c r="AC224" s="626"/>
      <c r="AD224" s="626"/>
      <c r="AE224" s="626"/>
      <c r="AF224" s="626"/>
      <c r="AG224" s="626"/>
      <c r="AH224" s="626"/>
      <c r="AI224" s="626"/>
      <c r="AJ224" s="626"/>
      <c r="AK224" s="626"/>
      <c r="AL224" s="626"/>
      <c r="AM224" s="626"/>
      <c r="AN224" s="626"/>
      <c r="AO224" s="626"/>
      <c r="AP224" s="626"/>
      <c r="AQ224" s="626"/>
      <c r="AR224" s="626"/>
      <c r="AS224" s="626"/>
      <c r="AT224" s="626"/>
      <c r="AU224" s="626"/>
      <c r="AV224" s="626"/>
      <c r="AW224" s="626"/>
      <c r="AX224" s="626"/>
      <c r="AY224" s="626"/>
      <c r="AZ224" s="626"/>
      <c r="BA224" s="453"/>
    </row>
    <row r="225" spans="1:53" ht="15" customHeight="1">
      <c r="A225" s="844"/>
      <c r="B225" s="453"/>
      <c r="C225" s="453"/>
      <c r="D225" s="638"/>
      <c r="E225" s="453"/>
      <c r="F225" s="453"/>
      <c r="G225" s="453"/>
      <c r="H225" s="453"/>
      <c r="I225" s="5351" t="s">
        <v>176</v>
      </c>
      <c r="J225" s="5351"/>
      <c r="K225" s="5351"/>
      <c r="L225" s="1892"/>
      <c r="M225" s="1892"/>
      <c r="N225" s="1892"/>
      <c r="O225" s="1892"/>
      <c r="P225" s="866"/>
      <c r="Q225" s="638"/>
      <c r="R225" s="454"/>
      <c r="S225" s="5372"/>
      <c r="T225" s="5373"/>
      <c r="U225" s="5373"/>
      <c r="V225" s="5373"/>
      <c r="W225" s="5373"/>
      <c r="X225" s="5373"/>
      <c r="Y225" s="5373"/>
      <c r="Z225" s="5373"/>
      <c r="AA225" s="5374"/>
      <c r="AB225" s="453"/>
      <c r="AC225" s="626"/>
      <c r="AD225" s="626"/>
      <c r="AE225" s="626"/>
      <c r="AF225" s="626"/>
      <c r="AG225" s="626"/>
      <c r="AH225" s="626"/>
      <c r="AI225" s="626"/>
      <c r="AJ225" s="626"/>
      <c r="AK225" s="626"/>
      <c r="AL225" s="626"/>
      <c r="AM225" s="626"/>
      <c r="AN225" s="626"/>
      <c r="AO225" s="626"/>
      <c r="AP225" s="626"/>
      <c r="AQ225" s="626"/>
      <c r="AR225" s="626"/>
      <c r="AS225" s="626"/>
      <c r="AT225" s="626"/>
      <c r="AU225" s="626"/>
      <c r="AV225" s="626"/>
      <c r="AW225" s="626"/>
      <c r="AX225" s="626"/>
      <c r="AY225" s="626"/>
      <c r="AZ225" s="626"/>
      <c r="BA225" s="453"/>
    </row>
    <row r="226" spans="1:53" ht="15" customHeight="1">
      <c r="A226" s="844"/>
      <c r="B226" s="617"/>
      <c r="C226" s="617"/>
      <c r="D226" s="617"/>
      <c r="E226" s="617"/>
      <c r="F226" s="617"/>
      <c r="G226" s="617"/>
      <c r="H226" s="453"/>
      <c r="I226" s="453"/>
      <c r="J226" s="453"/>
      <c r="K226" s="453"/>
      <c r="L226" s="453"/>
      <c r="M226" s="453"/>
      <c r="N226" s="855"/>
      <c r="O226" s="855"/>
      <c r="P226" s="855"/>
      <c r="Q226" s="855"/>
      <c r="R226" s="2018"/>
      <c r="S226" s="2018"/>
      <c r="T226" s="2018"/>
      <c r="U226" s="2018"/>
      <c r="V226" s="2181"/>
      <c r="W226" s="453"/>
      <c r="X226" s="453"/>
      <c r="Y226" s="453"/>
      <c r="Z226" s="453"/>
      <c r="AA226" s="453"/>
      <c r="AB226" s="453"/>
      <c r="AC226" s="626"/>
      <c r="AD226" s="626"/>
      <c r="AE226" s="626"/>
      <c r="AF226" s="626"/>
      <c r="AG226" s="626"/>
      <c r="AH226" s="626"/>
      <c r="AI226" s="626"/>
      <c r="AJ226" s="626"/>
      <c r="AK226" s="626"/>
      <c r="AL226" s="626"/>
      <c r="AM226" s="626"/>
      <c r="AN226" s="626"/>
      <c r="AO226" s="626"/>
      <c r="AP226" s="626"/>
      <c r="AQ226" s="626"/>
      <c r="AR226" s="626"/>
      <c r="AS226" s="626"/>
      <c r="AT226" s="626"/>
      <c r="AU226" s="626"/>
      <c r="AV226" s="626"/>
      <c r="AW226" s="626"/>
      <c r="AX226" s="626"/>
      <c r="AY226" s="626"/>
      <c r="AZ226" s="626"/>
      <c r="BA226" s="453"/>
    </row>
    <row r="227" spans="1:53" ht="15" customHeight="1">
      <c r="A227" s="844"/>
      <c r="B227" s="617"/>
      <c r="C227" s="617"/>
      <c r="D227" s="617"/>
      <c r="E227" s="617"/>
      <c r="F227" s="617"/>
      <c r="G227" s="617"/>
      <c r="H227" s="453"/>
      <c r="I227" s="453"/>
      <c r="J227" s="638"/>
      <c r="K227" s="638"/>
      <c r="L227" s="617"/>
      <c r="M227" s="617"/>
      <c r="N227" s="617"/>
      <c r="O227" s="5352" t="s">
        <v>1790</v>
      </c>
      <c r="P227" s="5352"/>
      <c r="Q227" s="5352"/>
      <c r="R227" s="2677"/>
      <c r="S227" s="2677"/>
      <c r="T227" s="2677"/>
      <c r="U227" s="2676"/>
      <c r="V227" s="2669"/>
      <c r="W227" s="453"/>
      <c r="X227" s="453"/>
      <c r="Y227" s="453"/>
      <c r="Z227" s="453"/>
      <c r="AA227" s="638"/>
      <c r="AB227" s="866"/>
      <c r="AC227" s="626"/>
      <c r="AD227" s="626"/>
      <c r="AE227" s="626"/>
      <c r="AF227" s="626"/>
      <c r="AG227" s="626"/>
      <c r="AH227" s="626"/>
      <c r="AI227" s="626"/>
      <c r="AJ227" s="626"/>
      <c r="AK227" s="626"/>
      <c r="AL227" s="626"/>
      <c r="AM227" s="626"/>
      <c r="AN227" s="626"/>
      <c r="AO227" s="626"/>
      <c r="AP227" s="626"/>
      <c r="AQ227" s="626"/>
      <c r="AR227" s="626"/>
      <c r="AS227" s="626"/>
      <c r="AT227" s="626"/>
      <c r="AU227" s="626"/>
      <c r="AV227" s="626"/>
      <c r="AW227" s="626"/>
      <c r="AX227" s="626"/>
      <c r="AY227" s="626"/>
      <c r="AZ227" s="626"/>
      <c r="BA227" s="453"/>
    </row>
    <row r="228" spans="1:53" ht="15" customHeight="1">
      <c r="A228" s="617"/>
      <c r="B228" s="617"/>
      <c r="C228" s="617"/>
      <c r="D228" s="617"/>
      <c r="E228" s="617"/>
      <c r="F228" s="617"/>
      <c r="G228" s="617"/>
      <c r="H228" s="453"/>
      <c r="I228" s="453"/>
      <c r="J228" s="617"/>
      <c r="K228" s="617"/>
      <c r="L228" s="617"/>
      <c r="M228" s="617"/>
      <c r="N228" s="617"/>
      <c r="O228" s="5353" t="s">
        <v>741</v>
      </c>
      <c r="P228" s="5353"/>
      <c r="Q228" s="5353"/>
      <c r="R228" s="5353"/>
      <c r="S228" s="2676"/>
      <c r="T228" s="2676"/>
      <c r="U228" s="2676"/>
      <c r="V228" s="2676"/>
      <c r="W228" s="453"/>
      <c r="X228" s="453"/>
      <c r="Y228" s="453"/>
      <c r="Z228" s="453"/>
      <c r="AA228" s="2676"/>
      <c r="AB228" s="866"/>
      <c r="AC228" s="626"/>
      <c r="AD228" s="626"/>
      <c r="AE228" s="626"/>
      <c r="AF228" s="626"/>
      <c r="AG228" s="626"/>
      <c r="AH228" s="626"/>
      <c r="AI228" s="626"/>
      <c r="AJ228" s="626"/>
      <c r="AK228" s="626"/>
      <c r="AL228" s="626"/>
      <c r="AM228" s="626"/>
      <c r="AN228" s="626"/>
      <c r="AO228" s="626"/>
      <c r="AP228" s="626"/>
      <c r="AQ228" s="626"/>
      <c r="AR228" s="626"/>
      <c r="AS228" s="626"/>
      <c r="AT228" s="626"/>
      <c r="AU228" s="626"/>
      <c r="AV228" s="626"/>
      <c r="AW228" s="626"/>
      <c r="AX228" s="626"/>
      <c r="AY228" s="626"/>
      <c r="AZ228" s="626"/>
      <c r="BA228" s="453"/>
    </row>
    <row r="229" spans="1:53" ht="15" customHeight="1">
      <c r="A229" s="617"/>
      <c r="B229" s="617"/>
      <c r="C229" s="617"/>
      <c r="D229" s="617"/>
      <c r="E229" s="617"/>
      <c r="F229" s="617"/>
      <c r="G229" s="617"/>
      <c r="H229" s="638"/>
      <c r="I229" s="638"/>
      <c r="J229" s="617"/>
      <c r="K229" s="617"/>
      <c r="L229" s="617"/>
      <c r="M229" s="617"/>
      <c r="N229" s="617"/>
      <c r="O229" s="5354"/>
      <c r="P229" s="5355"/>
      <c r="Q229" s="5355"/>
      <c r="R229" s="5355"/>
      <c r="S229" s="5355"/>
      <c r="T229" s="5355"/>
      <c r="U229" s="5355"/>
      <c r="V229" s="5355"/>
      <c r="W229" s="5355"/>
      <c r="X229" s="5355"/>
      <c r="Y229" s="5355"/>
      <c r="Z229" s="5355"/>
      <c r="AA229" s="5356"/>
      <c r="AB229" s="866"/>
      <c r="AC229" s="626"/>
      <c r="AD229" s="626"/>
      <c r="AE229" s="626"/>
      <c r="AF229" s="626"/>
      <c r="AG229" s="626"/>
      <c r="AH229" s="626"/>
      <c r="AI229" s="626"/>
      <c r="AJ229" s="626"/>
      <c r="AK229" s="626"/>
      <c r="AL229" s="626"/>
      <c r="AM229" s="626"/>
      <c r="AN229" s="626"/>
      <c r="AO229" s="626"/>
      <c r="AP229" s="626"/>
      <c r="AQ229" s="626"/>
      <c r="AR229" s="626"/>
      <c r="AS229" s="626"/>
      <c r="AT229" s="626"/>
      <c r="AU229" s="626"/>
      <c r="AV229" s="626"/>
      <c r="AW229" s="626"/>
      <c r="AX229" s="626"/>
      <c r="AY229" s="626"/>
      <c r="AZ229" s="626"/>
      <c r="BA229" s="453"/>
    </row>
    <row r="230" spans="1:53" ht="15" customHeight="1">
      <c r="A230" s="617"/>
      <c r="B230" s="617"/>
      <c r="C230" s="617"/>
      <c r="D230" s="617"/>
      <c r="E230" s="617"/>
      <c r="F230" s="617"/>
      <c r="G230" s="617"/>
      <c r="H230" s="617"/>
      <c r="I230" s="617"/>
      <c r="J230" s="617"/>
      <c r="K230" s="617"/>
      <c r="L230" s="617"/>
      <c r="M230" s="617"/>
      <c r="N230" s="617"/>
      <c r="O230" s="5357"/>
      <c r="P230" s="5358"/>
      <c r="Q230" s="5358"/>
      <c r="R230" s="5358"/>
      <c r="S230" s="5358"/>
      <c r="T230" s="5358"/>
      <c r="U230" s="5358"/>
      <c r="V230" s="5358"/>
      <c r="W230" s="5358"/>
      <c r="X230" s="5358"/>
      <c r="Y230" s="5358"/>
      <c r="Z230" s="5358"/>
      <c r="AA230" s="5359"/>
      <c r="AB230" s="866"/>
      <c r="AC230" s="626"/>
      <c r="AD230" s="626"/>
      <c r="AE230" s="626"/>
      <c r="AF230" s="626"/>
      <c r="AG230" s="626"/>
      <c r="AH230" s="626"/>
      <c r="AI230" s="626"/>
      <c r="AJ230" s="626"/>
      <c r="AK230" s="626"/>
      <c r="AL230" s="626"/>
      <c r="AM230" s="626"/>
      <c r="AN230" s="626"/>
      <c r="AO230" s="626"/>
      <c r="AP230" s="626"/>
      <c r="AQ230" s="626"/>
      <c r="AR230" s="626"/>
      <c r="AS230" s="626"/>
      <c r="AT230" s="626"/>
      <c r="AU230" s="626"/>
      <c r="AV230" s="626"/>
      <c r="AW230" s="626"/>
      <c r="AX230" s="626"/>
      <c r="AY230" s="626"/>
      <c r="AZ230" s="626"/>
      <c r="BA230" s="453"/>
    </row>
    <row r="231" spans="1:53" ht="15" customHeight="1">
      <c r="A231" s="617"/>
      <c r="B231" s="617"/>
      <c r="C231" s="617"/>
      <c r="D231" s="617"/>
      <c r="E231" s="617"/>
      <c r="F231" s="617"/>
      <c r="G231" s="617"/>
      <c r="H231" s="617"/>
      <c r="I231" s="617"/>
      <c r="J231" s="617"/>
      <c r="K231" s="617"/>
      <c r="L231" s="617"/>
      <c r="M231" s="617"/>
      <c r="N231" s="617"/>
      <c r="O231" s="5357"/>
      <c r="P231" s="5358"/>
      <c r="Q231" s="5358"/>
      <c r="R231" s="5358"/>
      <c r="S231" s="5358"/>
      <c r="T231" s="5358"/>
      <c r="U231" s="5358"/>
      <c r="V231" s="5358"/>
      <c r="W231" s="5358"/>
      <c r="X231" s="5358"/>
      <c r="Y231" s="5358"/>
      <c r="Z231" s="5358"/>
      <c r="AA231" s="5359"/>
      <c r="AB231" s="866"/>
      <c r="AC231" s="626"/>
      <c r="AD231" s="626"/>
      <c r="AE231" s="626"/>
      <c r="AF231" s="626"/>
      <c r="AG231" s="626"/>
      <c r="AH231" s="626"/>
      <c r="AI231" s="626"/>
      <c r="AJ231" s="626"/>
      <c r="AK231" s="626"/>
      <c r="AL231" s="626"/>
      <c r="AM231" s="626"/>
      <c r="AN231" s="626"/>
      <c r="AO231" s="626"/>
      <c r="AP231" s="626"/>
      <c r="AQ231" s="626"/>
      <c r="AR231" s="626"/>
      <c r="AS231" s="626"/>
      <c r="AT231" s="626"/>
      <c r="AU231" s="626"/>
      <c r="AV231" s="626"/>
      <c r="AW231" s="626"/>
      <c r="AX231" s="626"/>
      <c r="AY231" s="626"/>
      <c r="AZ231" s="626"/>
      <c r="BA231" s="453"/>
    </row>
    <row r="232" spans="1:53" ht="15" customHeight="1">
      <c r="A232" s="617"/>
      <c r="B232" s="617"/>
      <c r="C232" s="617"/>
      <c r="D232" s="617"/>
      <c r="E232" s="617"/>
      <c r="F232" s="617"/>
      <c r="G232" s="617"/>
      <c r="H232" s="617"/>
      <c r="I232" s="617"/>
      <c r="J232" s="617"/>
      <c r="K232" s="617"/>
      <c r="L232" s="617"/>
      <c r="M232" s="617"/>
      <c r="N232" s="617"/>
      <c r="O232" s="5357"/>
      <c r="P232" s="5358"/>
      <c r="Q232" s="5358"/>
      <c r="R232" s="5358"/>
      <c r="S232" s="5358"/>
      <c r="T232" s="5358"/>
      <c r="U232" s="5358"/>
      <c r="V232" s="5358"/>
      <c r="W232" s="5358"/>
      <c r="X232" s="5358"/>
      <c r="Y232" s="5358"/>
      <c r="Z232" s="5358"/>
      <c r="AA232" s="5359"/>
      <c r="AB232" s="866"/>
      <c r="AC232" s="626"/>
      <c r="AD232" s="626"/>
      <c r="AE232" s="626"/>
      <c r="AF232" s="626"/>
      <c r="AG232" s="626"/>
      <c r="AH232" s="626"/>
      <c r="AI232" s="626"/>
      <c r="AJ232" s="626"/>
      <c r="AK232" s="626"/>
      <c r="AL232" s="626"/>
      <c r="AM232" s="626"/>
      <c r="AN232" s="626"/>
      <c r="AO232" s="626"/>
      <c r="AP232" s="626"/>
      <c r="AQ232" s="626"/>
      <c r="AR232" s="626"/>
      <c r="AS232" s="626"/>
      <c r="AT232" s="626"/>
      <c r="AU232" s="626"/>
      <c r="AV232" s="626"/>
      <c r="AW232" s="626"/>
      <c r="AX232" s="626"/>
      <c r="AY232" s="626"/>
      <c r="AZ232" s="626"/>
      <c r="BA232" s="841"/>
    </row>
    <row r="233" spans="1:53" ht="15" customHeight="1">
      <c r="A233" s="617"/>
      <c r="B233" s="617"/>
      <c r="C233" s="617"/>
      <c r="D233" s="617"/>
      <c r="E233" s="617"/>
      <c r="F233" s="617"/>
      <c r="G233" s="617"/>
      <c r="H233" s="617"/>
      <c r="I233" s="617"/>
      <c r="J233" s="617"/>
      <c r="K233" s="617"/>
      <c r="L233" s="617"/>
      <c r="M233" s="617"/>
      <c r="N233" s="617"/>
      <c r="O233" s="5357"/>
      <c r="P233" s="5358"/>
      <c r="Q233" s="5358"/>
      <c r="R233" s="5358"/>
      <c r="S233" s="5358"/>
      <c r="T233" s="5358"/>
      <c r="U233" s="5358"/>
      <c r="V233" s="5358"/>
      <c r="W233" s="5358"/>
      <c r="X233" s="5358"/>
      <c r="Y233" s="5358"/>
      <c r="Z233" s="5358"/>
      <c r="AA233" s="5359"/>
      <c r="AB233" s="866"/>
      <c r="AC233" s="626"/>
      <c r="AD233" s="626"/>
      <c r="AE233" s="626"/>
      <c r="AF233" s="626"/>
      <c r="AG233" s="626"/>
      <c r="AH233" s="626"/>
      <c r="AI233" s="626"/>
      <c r="AJ233" s="626"/>
      <c r="AK233" s="626"/>
      <c r="AL233" s="626"/>
      <c r="AM233" s="626"/>
      <c r="AN233" s="626"/>
      <c r="AO233" s="626"/>
      <c r="AP233" s="626"/>
      <c r="AQ233" s="626"/>
      <c r="AR233" s="626"/>
      <c r="AS233" s="626"/>
      <c r="AT233" s="626"/>
      <c r="AU233" s="626"/>
      <c r="AV233" s="626"/>
      <c r="AW233" s="626"/>
      <c r="AX233" s="626"/>
      <c r="AY233" s="626"/>
      <c r="AZ233" s="626"/>
      <c r="BA233" s="841"/>
    </row>
    <row r="234" spans="1:53" ht="15" customHeight="1">
      <c r="A234" s="617"/>
      <c r="B234" s="617"/>
      <c r="C234" s="617"/>
      <c r="D234" s="617"/>
      <c r="E234" s="617"/>
      <c r="F234" s="617"/>
      <c r="G234" s="617"/>
      <c r="H234" s="617"/>
      <c r="I234" s="617"/>
      <c r="J234" s="617"/>
      <c r="K234" s="617"/>
      <c r="L234" s="617"/>
      <c r="M234" s="617"/>
      <c r="N234" s="617"/>
      <c r="O234" s="5357"/>
      <c r="P234" s="5358"/>
      <c r="Q234" s="5358"/>
      <c r="R234" s="5358"/>
      <c r="S234" s="5358"/>
      <c r="T234" s="5358"/>
      <c r="U234" s="5358"/>
      <c r="V234" s="5358"/>
      <c r="W234" s="5358"/>
      <c r="X234" s="5358"/>
      <c r="Y234" s="5358"/>
      <c r="Z234" s="5358"/>
      <c r="AA234" s="5359"/>
      <c r="AB234" s="866"/>
      <c r="AC234" s="626"/>
      <c r="AD234" s="626"/>
      <c r="AE234" s="626"/>
      <c r="AF234" s="626"/>
      <c r="AG234" s="626"/>
      <c r="AH234" s="626"/>
      <c r="AI234" s="626"/>
      <c r="AJ234" s="626"/>
      <c r="AK234" s="626"/>
      <c r="AL234" s="626"/>
      <c r="AM234" s="626"/>
      <c r="AN234" s="626"/>
      <c r="AO234" s="626"/>
      <c r="AP234" s="626"/>
      <c r="AQ234" s="626"/>
      <c r="AR234" s="626"/>
      <c r="AS234" s="626"/>
      <c r="AT234" s="626"/>
      <c r="AU234" s="626"/>
      <c r="AV234" s="626"/>
      <c r="AW234" s="626"/>
      <c r="AX234" s="626"/>
      <c r="AY234" s="626"/>
      <c r="AZ234" s="626"/>
      <c r="BA234" s="841"/>
    </row>
    <row r="235" spans="1:53" ht="15" customHeight="1">
      <c r="A235" s="617"/>
      <c r="B235" s="617"/>
      <c r="C235" s="617"/>
      <c r="D235" s="617"/>
      <c r="E235" s="617"/>
      <c r="F235" s="617"/>
      <c r="G235" s="617"/>
      <c r="H235" s="617"/>
      <c r="I235" s="617"/>
      <c r="J235" s="617"/>
      <c r="K235" s="617"/>
      <c r="L235" s="617"/>
      <c r="M235" s="617"/>
      <c r="N235" s="617"/>
      <c r="O235" s="5357"/>
      <c r="P235" s="5358"/>
      <c r="Q235" s="5358"/>
      <c r="R235" s="5358"/>
      <c r="S235" s="5358"/>
      <c r="T235" s="5358"/>
      <c r="U235" s="5358"/>
      <c r="V235" s="5358"/>
      <c r="W235" s="5358"/>
      <c r="X235" s="5358"/>
      <c r="Y235" s="5358"/>
      <c r="Z235" s="5358"/>
      <c r="AA235" s="5359"/>
      <c r="AB235" s="866"/>
      <c r="AC235" s="626"/>
      <c r="AD235" s="626"/>
      <c r="AE235" s="626"/>
      <c r="AF235" s="626"/>
      <c r="AG235" s="626"/>
      <c r="AH235" s="626"/>
      <c r="AI235" s="626"/>
      <c r="AJ235" s="626"/>
      <c r="AK235" s="626"/>
      <c r="AL235" s="626"/>
      <c r="AM235" s="626"/>
      <c r="AN235" s="626"/>
      <c r="AO235" s="626"/>
      <c r="AP235" s="626"/>
      <c r="AQ235" s="626"/>
      <c r="AR235" s="626"/>
      <c r="AS235" s="626"/>
      <c r="AT235" s="626"/>
      <c r="AU235" s="626"/>
      <c r="AV235" s="626"/>
      <c r="AW235" s="626"/>
      <c r="AX235" s="626"/>
      <c r="AY235" s="626"/>
      <c r="AZ235" s="626"/>
      <c r="BA235" s="841"/>
    </row>
    <row r="236" spans="1:53" ht="15" customHeight="1">
      <c r="A236" s="617"/>
      <c r="B236" s="617"/>
      <c r="C236" s="617"/>
      <c r="D236" s="617"/>
      <c r="E236" s="617"/>
      <c r="F236" s="617"/>
      <c r="G236" s="617"/>
      <c r="H236" s="617"/>
      <c r="I236" s="617"/>
      <c r="J236" s="617"/>
      <c r="K236" s="617"/>
      <c r="L236" s="617"/>
      <c r="M236" s="617"/>
      <c r="N236" s="617"/>
      <c r="O236" s="5357"/>
      <c r="P236" s="5358"/>
      <c r="Q236" s="5358"/>
      <c r="R236" s="5358"/>
      <c r="S236" s="5358"/>
      <c r="T236" s="5358"/>
      <c r="U236" s="5358"/>
      <c r="V236" s="5358"/>
      <c r="W236" s="5358"/>
      <c r="X236" s="5358"/>
      <c r="Y236" s="5358"/>
      <c r="Z236" s="5358"/>
      <c r="AA236" s="5359"/>
      <c r="AB236" s="866"/>
      <c r="AC236" s="626"/>
      <c r="AD236" s="626"/>
      <c r="AE236" s="626"/>
      <c r="AF236" s="626"/>
      <c r="AG236" s="626"/>
      <c r="AH236" s="626"/>
      <c r="AI236" s="626"/>
      <c r="AJ236" s="626"/>
      <c r="AK236" s="626"/>
      <c r="AL236" s="626"/>
      <c r="AM236" s="626"/>
      <c r="AN236" s="626"/>
      <c r="AO236" s="626"/>
      <c r="AP236" s="626"/>
      <c r="AQ236" s="626"/>
      <c r="AR236" s="626"/>
      <c r="AS236" s="626"/>
      <c r="AT236" s="626"/>
      <c r="AU236" s="626"/>
      <c r="AV236" s="626"/>
      <c r="AW236" s="626"/>
      <c r="AX236" s="626"/>
      <c r="AY236" s="626"/>
      <c r="AZ236" s="626"/>
      <c r="BA236" s="841"/>
    </row>
    <row r="237" spans="1:53" ht="15" customHeight="1">
      <c r="A237" s="617"/>
      <c r="B237" s="617"/>
      <c r="C237" s="617"/>
      <c r="D237" s="617"/>
      <c r="E237" s="617"/>
      <c r="F237" s="617"/>
      <c r="G237" s="617"/>
      <c r="H237" s="617"/>
      <c r="I237" s="617"/>
      <c r="J237" s="617"/>
      <c r="K237" s="617"/>
      <c r="L237" s="617"/>
      <c r="M237" s="617"/>
      <c r="N237" s="617"/>
      <c r="O237" s="5357"/>
      <c r="P237" s="5358"/>
      <c r="Q237" s="5358"/>
      <c r="R237" s="5358"/>
      <c r="S237" s="5358"/>
      <c r="T237" s="5358"/>
      <c r="U237" s="5358"/>
      <c r="V237" s="5358"/>
      <c r="W237" s="5358"/>
      <c r="X237" s="5358"/>
      <c r="Y237" s="5358"/>
      <c r="Z237" s="5358"/>
      <c r="AA237" s="5359"/>
      <c r="AB237" s="866"/>
      <c r="AC237" s="626"/>
      <c r="AD237" s="626"/>
      <c r="AE237" s="626"/>
      <c r="AF237" s="626"/>
      <c r="AG237" s="626"/>
      <c r="AH237" s="626"/>
      <c r="AI237" s="626"/>
      <c r="AJ237" s="626"/>
      <c r="AK237" s="626"/>
      <c r="AL237" s="626"/>
      <c r="AM237" s="626"/>
      <c r="AN237" s="626"/>
      <c r="AO237" s="626"/>
      <c r="AP237" s="626"/>
      <c r="AQ237" s="626"/>
      <c r="AR237" s="626"/>
      <c r="AS237" s="626"/>
      <c r="AT237" s="626"/>
      <c r="AU237" s="626"/>
      <c r="AV237" s="626"/>
      <c r="AW237" s="626"/>
      <c r="AX237" s="626"/>
      <c r="AY237" s="626"/>
      <c r="AZ237" s="626"/>
      <c r="BA237" s="841"/>
    </row>
    <row r="238" spans="1:53" ht="15" customHeight="1">
      <c r="A238" s="617"/>
      <c r="B238" s="617"/>
      <c r="C238" s="617"/>
      <c r="D238" s="617"/>
      <c r="E238" s="617"/>
      <c r="F238" s="617"/>
      <c r="G238" s="617"/>
      <c r="H238" s="617"/>
      <c r="I238" s="617"/>
      <c r="J238" s="617"/>
      <c r="K238" s="617"/>
      <c r="L238" s="617"/>
      <c r="M238" s="617"/>
      <c r="N238" s="617"/>
      <c r="O238" s="5357"/>
      <c r="P238" s="5358"/>
      <c r="Q238" s="5358"/>
      <c r="R238" s="5358"/>
      <c r="S238" s="5358"/>
      <c r="T238" s="5358"/>
      <c r="U238" s="5358"/>
      <c r="V238" s="5358"/>
      <c r="W238" s="5358"/>
      <c r="X238" s="5358"/>
      <c r="Y238" s="5358"/>
      <c r="Z238" s="5358"/>
      <c r="AA238" s="5359"/>
      <c r="AB238" s="866"/>
      <c r="AC238" s="626"/>
      <c r="AD238" s="626"/>
      <c r="AE238" s="626"/>
      <c r="AF238" s="626"/>
      <c r="AG238" s="626"/>
      <c r="AH238" s="626"/>
      <c r="AI238" s="626"/>
      <c r="AJ238" s="626"/>
      <c r="AK238" s="626"/>
      <c r="AL238" s="626"/>
      <c r="AM238" s="626"/>
      <c r="AN238" s="626"/>
      <c r="AO238" s="626"/>
      <c r="AP238" s="626"/>
      <c r="AQ238" s="626"/>
      <c r="AR238" s="626"/>
      <c r="AS238" s="626"/>
      <c r="AT238" s="626"/>
      <c r="AU238" s="626"/>
      <c r="AV238" s="626"/>
      <c r="AW238" s="626"/>
      <c r="AX238" s="626"/>
      <c r="AY238" s="626"/>
      <c r="AZ238" s="626"/>
      <c r="BA238" s="841"/>
    </row>
    <row r="239" spans="1:53" ht="15" customHeight="1">
      <c r="A239" s="617"/>
      <c r="B239" s="617"/>
      <c r="C239" s="617"/>
      <c r="D239" s="617"/>
      <c r="E239" s="617"/>
      <c r="F239" s="617"/>
      <c r="G239" s="617"/>
      <c r="H239" s="617"/>
      <c r="I239" s="617"/>
      <c r="J239" s="617"/>
      <c r="K239" s="617"/>
      <c r="L239" s="617"/>
      <c r="M239" s="617"/>
      <c r="N239" s="617"/>
      <c r="O239" s="5357"/>
      <c r="P239" s="5358"/>
      <c r="Q239" s="5358"/>
      <c r="R239" s="5358"/>
      <c r="S239" s="5358"/>
      <c r="T239" s="5358"/>
      <c r="U239" s="5358"/>
      <c r="V239" s="5358"/>
      <c r="W239" s="5358"/>
      <c r="X239" s="5358"/>
      <c r="Y239" s="5358"/>
      <c r="Z239" s="5358"/>
      <c r="AA239" s="5359"/>
      <c r="AB239" s="866"/>
      <c r="AC239" s="626"/>
      <c r="AD239" s="626"/>
      <c r="AE239" s="626"/>
      <c r="AF239" s="626"/>
      <c r="AG239" s="626"/>
      <c r="AH239" s="626"/>
      <c r="AI239" s="626"/>
      <c r="AJ239" s="626"/>
      <c r="AK239" s="626"/>
      <c r="AL239" s="626"/>
      <c r="AM239" s="626"/>
      <c r="AN239" s="626"/>
      <c r="AO239" s="626"/>
      <c r="AP239" s="626"/>
      <c r="AQ239" s="626"/>
      <c r="AR239" s="626"/>
      <c r="AS239" s="626"/>
      <c r="AT239" s="626"/>
      <c r="AU239" s="626"/>
      <c r="AV239" s="626"/>
      <c r="AW239" s="626"/>
      <c r="AX239" s="626"/>
      <c r="AY239" s="626"/>
      <c r="AZ239" s="626"/>
      <c r="BA239" s="841"/>
    </row>
    <row r="240" spans="1:53" ht="15" customHeight="1">
      <c r="A240" s="617"/>
      <c r="B240" s="617"/>
      <c r="C240" s="617"/>
      <c r="D240" s="617"/>
      <c r="E240" s="617"/>
      <c r="F240" s="617"/>
      <c r="G240" s="617"/>
      <c r="H240" s="617"/>
      <c r="I240" s="617"/>
      <c r="J240" s="617"/>
      <c r="K240" s="617"/>
      <c r="L240" s="617"/>
      <c r="M240" s="617"/>
      <c r="N240" s="617"/>
      <c r="O240" s="5357"/>
      <c r="P240" s="5358"/>
      <c r="Q240" s="5358"/>
      <c r="R240" s="5358"/>
      <c r="S240" s="5358"/>
      <c r="T240" s="5358"/>
      <c r="U240" s="5358"/>
      <c r="V240" s="5358"/>
      <c r="W240" s="5358"/>
      <c r="X240" s="5358"/>
      <c r="Y240" s="5358"/>
      <c r="Z240" s="5358"/>
      <c r="AA240" s="5359"/>
      <c r="AB240" s="866"/>
      <c r="AC240" s="626"/>
      <c r="AD240" s="626"/>
      <c r="AE240" s="626"/>
      <c r="AF240" s="626"/>
      <c r="AG240" s="626"/>
      <c r="AH240" s="626"/>
      <c r="AI240" s="626"/>
      <c r="AJ240" s="626"/>
      <c r="AK240" s="626"/>
      <c r="AL240" s="626"/>
      <c r="AM240" s="626"/>
      <c r="AN240" s="626"/>
      <c r="AO240" s="626"/>
      <c r="AP240" s="626"/>
      <c r="AQ240" s="626"/>
      <c r="AR240" s="626"/>
      <c r="AS240" s="626"/>
      <c r="AT240" s="626"/>
      <c r="AU240" s="626"/>
      <c r="AV240" s="626"/>
      <c r="AW240" s="626"/>
      <c r="AX240" s="626"/>
      <c r="AY240" s="626"/>
      <c r="AZ240" s="626"/>
      <c r="BA240" s="841"/>
    </row>
    <row r="241" spans="1:53" ht="15" customHeight="1">
      <c r="A241" s="617"/>
      <c r="B241" s="617"/>
      <c r="C241" s="617"/>
      <c r="D241" s="617"/>
      <c r="E241" s="617"/>
      <c r="F241" s="617"/>
      <c r="G241" s="617"/>
      <c r="H241" s="617"/>
      <c r="I241" s="617"/>
      <c r="J241" s="617"/>
      <c r="K241" s="617"/>
      <c r="L241" s="617"/>
      <c r="M241" s="617"/>
      <c r="N241" s="617"/>
      <c r="O241" s="5357"/>
      <c r="P241" s="5358"/>
      <c r="Q241" s="5358"/>
      <c r="R241" s="5358"/>
      <c r="S241" s="5358"/>
      <c r="T241" s="5358"/>
      <c r="U241" s="5358"/>
      <c r="V241" s="5358"/>
      <c r="W241" s="5358"/>
      <c r="X241" s="5358"/>
      <c r="Y241" s="5358"/>
      <c r="Z241" s="5358"/>
      <c r="AA241" s="5359"/>
      <c r="AB241" s="866"/>
      <c r="AC241" s="626"/>
      <c r="AD241" s="626"/>
      <c r="AE241" s="626"/>
      <c r="AF241" s="626"/>
      <c r="AG241" s="3380"/>
      <c r="AH241" s="626"/>
      <c r="AI241" s="626"/>
      <c r="AJ241" s="626"/>
      <c r="AK241" s="626"/>
      <c r="AL241" s="626"/>
      <c r="AM241" s="626"/>
      <c r="AN241" s="626"/>
      <c r="AO241" s="626"/>
      <c r="AP241" s="626"/>
      <c r="AQ241" s="626"/>
      <c r="AR241" s="626"/>
      <c r="AS241" s="626"/>
      <c r="AT241" s="626"/>
      <c r="AU241" s="626"/>
      <c r="AV241" s="626"/>
      <c r="AW241" s="626"/>
      <c r="AX241" s="626"/>
      <c r="AY241" s="626"/>
      <c r="AZ241" s="626"/>
      <c r="BA241" s="841"/>
    </row>
    <row r="242" spans="1:53" ht="15" customHeight="1">
      <c r="A242" s="617"/>
      <c r="B242" s="617"/>
      <c r="C242" s="617"/>
      <c r="D242" s="617"/>
      <c r="E242" s="617"/>
      <c r="F242" s="617"/>
      <c r="G242" s="617"/>
      <c r="H242" s="617"/>
      <c r="I242" s="617"/>
      <c r="J242" s="617"/>
      <c r="K242" s="617"/>
      <c r="L242" s="617"/>
      <c r="M242" s="617"/>
      <c r="N242" s="617"/>
      <c r="O242" s="5357"/>
      <c r="P242" s="5358"/>
      <c r="Q242" s="5358"/>
      <c r="R242" s="5358"/>
      <c r="S242" s="5358"/>
      <c r="T242" s="5358"/>
      <c r="U242" s="5358"/>
      <c r="V242" s="5358"/>
      <c r="W242" s="5358"/>
      <c r="X242" s="5358"/>
      <c r="Y242" s="5358"/>
      <c r="Z242" s="5358"/>
      <c r="AA242" s="5359"/>
      <c r="AB242" s="866"/>
      <c r="AC242" s="626"/>
      <c r="AD242" s="626"/>
      <c r="AE242" s="626"/>
      <c r="AF242" s="626"/>
      <c r="AG242" s="626"/>
      <c r="AH242" s="626"/>
      <c r="AI242" s="626"/>
      <c r="AJ242" s="626"/>
      <c r="AK242" s="626"/>
      <c r="AL242" s="626"/>
      <c r="AM242" s="626"/>
      <c r="AN242" s="626"/>
      <c r="AO242" s="626"/>
      <c r="AP242" s="626"/>
      <c r="AQ242" s="626"/>
      <c r="AR242" s="626"/>
      <c r="AS242" s="626"/>
      <c r="AT242" s="626"/>
      <c r="AU242" s="626"/>
      <c r="AV242" s="626"/>
      <c r="AW242" s="626"/>
      <c r="AX242" s="626"/>
      <c r="AY242" s="626"/>
      <c r="AZ242" s="626"/>
      <c r="BA242" s="841"/>
    </row>
    <row r="243" spans="1:53" ht="15" customHeight="1">
      <c r="A243" s="617"/>
      <c r="B243" s="617"/>
      <c r="C243" s="617"/>
      <c r="D243" s="617"/>
      <c r="E243" s="617"/>
      <c r="F243" s="617"/>
      <c r="G243" s="617"/>
      <c r="H243" s="617"/>
      <c r="I243" s="617"/>
      <c r="J243" s="617"/>
      <c r="K243" s="617"/>
      <c r="L243" s="617"/>
      <c r="M243" s="617"/>
      <c r="N243" s="617"/>
      <c r="O243" s="5357"/>
      <c r="P243" s="5358"/>
      <c r="Q243" s="5358"/>
      <c r="R243" s="5358"/>
      <c r="S243" s="5358"/>
      <c r="T243" s="5358"/>
      <c r="U243" s="5358"/>
      <c r="V243" s="5358"/>
      <c r="W243" s="5358"/>
      <c r="X243" s="5358"/>
      <c r="Y243" s="5358"/>
      <c r="Z243" s="5358"/>
      <c r="AA243" s="5359"/>
      <c r="AB243" s="866"/>
      <c r="AC243" s="626"/>
      <c r="AD243" s="626"/>
      <c r="AE243" s="626"/>
      <c r="AF243" s="626"/>
      <c r="AG243" s="626"/>
      <c r="AH243" s="626"/>
      <c r="AI243" s="626"/>
      <c r="AJ243" s="626"/>
      <c r="AK243" s="626"/>
      <c r="AL243" s="626"/>
      <c r="AM243" s="626"/>
      <c r="AN243" s="626"/>
      <c r="AO243" s="626"/>
      <c r="AP243" s="626"/>
      <c r="AQ243" s="626"/>
      <c r="AR243" s="626"/>
      <c r="AS243" s="626"/>
      <c r="AT243" s="626"/>
      <c r="AU243" s="626"/>
      <c r="AV243" s="626"/>
      <c r="AW243" s="626"/>
      <c r="AX243" s="626"/>
      <c r="AY243" s="626"/>
      <c r="AZ243" s="626"/>
      <c r="BA243" s="841"/>
    </row>
    <row r="244" spans="1:53" ht="15" customHeight="1">
      <c r="A244" s="617"/>
      <c r="B244" s="617"/>
      <c r="C244" s="617"/>
      <c r="D244" s="617"/>
      <c r="E244" s="617"/>
      <c r="F244" s="617"/>
      <c r="G244" s="617"/>
      <c r="H244" s="617"/>
      <c r="I244" s="617"/>
      <c r="J244" s="617"/>
      <c r="K244" s="617"/>
      <c r="L244" s="617"/>
      <c r="M244" s="617"/>
      <c r="N244" s="617"/>
      <c r="O244" s="5357"/>
      <c r="P244" s="5358"/>
      <c r="Q244" s="5358"/>
      <c r="R244" s="5358"/>
      <c r="S244" s="5358"/>
      <c r="T244" s="5358"/>
      <c r="U244" s="5358"/>
      <c r="V244" s="5358"/>
      <c r="W244" s="5358"/>
      <c r="X244" s="5358"/>
      <c r="Y244" s="5358"/>
      <c r="Z244" s="5358"/>
      <c r="AA244" s="5359"/>
      <c r="AB244" s="866"/>
      <c r="AC244" s="626"/>
      <c r="AD244" s="626"/>
      <c r="AE244" s="626"/>
      <c r="AF244" s="626"/>
      <c r="AG244" s="626"/>
      <c r="AH244" s="626"/>
      <c r="AI244" s="626"/>
      <c r="AJ244" s="626"/>
      <c r="AK244" s="626"/>
      <c r="AL244" s="626"/>
      <c r="AM244" s="626"/>
      <c r="AN244" s="626"/>
      <c r="AO244" s="626"/>
      <c r="AP244" s="626"/>
      <c r="AQ244" s="626"/>
      <c r="AR244" s="626"/>
      <c r="AS244" s="626"/>
      <c r="AT244" s="626"/>
      <c r="AU244" s="626"/>
      <c r="AV244" s="626"/>
      <c r="AW244" s="626"/>
      <c r="AX244" s="626"/>
      <c r="AY244" s="626"/>
      <c r="AZ244" s="626"/>
      <c r="BA244" s="841"/>
    </row>
    <row r="245" spans="1:53" ht="15" customHeight="1">
      <c r="A245" s="617"/>
      <c r="B245" s="617"/>
      <c r="C245" s="617"/>
      <c r="D245" s="617"/>
      <c r="E245" s="617"/>
      <c r="F245" s="617"/>
      <c r="G245" s="617"/>
      <c r="H245" s="617"/>
      <c r="I245" s="617"/>
      <c r="J245" s="617"/>
      <c r="K245" s="617"/>
      <c r="L245" s="617"/>
      <c r="M245" s="617"/>
      <c r="N245" s="617"/>
      <c r="O245" s="5357"/>
      <c r="P245" s="5358"/>
      <c r="Q245" s="5358"/>
      <c r="R245" s="5358"/>
      <c r="S245" s="5358"/>
      <c r="T245" s="5358"/>
      <c r="U245" s="5358"/>
      <c r="V245" s="5358"/>
      <c r="W245" s="5358"/>
      <c r="X245" s="5358"/>
      <c r="Y245" s="5358"/>
      <c r="Z245" s="5358"/>
      <c r="AA245" s="5359"/>
      <c r="AB245" s="866"/>
      <c r="AC245" s="626"/>
      <c r="AD245" s="626"/>
      <c r="AE245" s="626"/>
      <c r="AF245" s="626"/>
      <c r="AG245" s="626"/>
      <c r="AH245" s="626"/>
      <c r="AI245" s="626"/>
      <c r="AJ245" s="626"/>
      <c r="AK245" s="626"/>
      <c r="AL245" s="626"/>
      <c r="AM245" s="626"/>
      <c r="AN245" s="626"/>
      <c r="AO245" s="626"/>
      <c r="AP245" s="626"/>
      <c r="AQ245" s="626"/>
      <c r="AR245" s="626"/>
      <c r="AS245" s="626"/>
      <c r="AT245" s="626"/>
      <c r="AU245" s="626"/>
      <c r="AV245" s="626"/>
      <c r="AW245" s="626"/>
      <c r="AX245" s="626"/>
      <c r="AY245" s="626"/>
      <c r="AZ245" s="626"/>
      <c r="BA245" s="841"/>
    </row>
    <row r="246" spans="1:53" ht="15" customHeight="1">
      <c r="A246" s="617"/>
      <c r="B246" s="617"/>
      <c r="C246" s="617"/>
      <c r="D246" s="617"/>
      <c r="E246" s="617"/>
      <c r="F246" s="617"/>
      <c r="G246" s="617"/>
      <c r="H246" s="617"/>
      <c r="I246" s="617"/>
      <c r="J246" s="617"/>
      <c r="K246" s="617"/>
      <c r="L246" s="617"/>
      <c r="M246" s="617"/>
      <c r="N246" s="617"/>
      <c r="O246" s="5357"/>
      <c r="P246" s="5358"/>
      <c r="Q246" s="5358"/>
      <c r="R246" s="5358"/>
      <c r="S246" s="5358"/>
      <c r="T246" s="5358"/>
      <c r="U246" s="5358"/>
      <c r="V246" s="5358"/>
      <c r="W246" s="5358"/>
      <c r="X246" s="5358"/>
      <c r="Y246" s="5358"/>
      <c r="Z246" s="5358"/>
      <c r="AA246" s="5359"/>
      <c r="AB246" s="866"/>
      <c r="AC246" s="626"/>
      <c r="AD246" s="626"/>
      <c r="AE246" s="626"/>
      <c r="AF246" s="626"/>
      <c r="AG246" s="626"/>
      <c r="AH246" s="626"/>
      <c r="AI246" s="626"/>
      <c r="AJ246" s="626"/>
      <c r="AK246" s="626"/>
      <c r="AL246" s="626"/>
      <c r="AM246" s="626"/>
      <c r="AN246" s="626"/>
      <c r="AO246" s="626"/>
      <c r="AP246" s="626"/>
      <c r="AQ246" s="626"/>
      <c r="AR246" s="626"/>
      <c r="AS246" s="626"/>
      <c r="AT246" s="626"/>
      <c r="AU246" s="626"/>
      <c r="AV246" s="626"/>
      <c r="AW246" s="626"/>
      <c r="AX246" s="626"/>
      <c r="AY246" s="626"/>
      <c r="AZ246" s="626"/>
      <c r="BA246" s="841"/>
    </row>
    <row r="247" spans="1:53" ht="15" customHeight="1">
      <c r="A247" s="617"/>
      <c r="B247" s="617"/>
      <c r="C247" s="617"/>
      <c r="D247" s="617"/>
      <c r="E247" s="617"/>
      <c r="F247" s="617"/>
      <c r="G247" s="617"/>
      <c r="H247" s="617"/>
      <c r="I247" s="617"/>
      <c r="J247" s="617"/>
      <c r="K247" s="617"/>
      <c r="L247" s="617"/>
      <c r="M247" s="617"/>
      <c r="N247" s="617"/>
      <c r="O247" s="5357"/>
      <c r="P247" s="5358"/>
      <c r="Q247" s="5358"/>
      <c r="R247" s="5358"/>
      <c r="S247" s="5358"/>
      <c r="T247" s="5358"/>
      <c r="U247" s="5358"/>
      <c r="V247" s="5358"/>
      <c r="W247" s="5358"/>
      <c r="X247" s="5358"/>
      <c r="Y247" s="5358"/>
      <c r="Z247" s="5358"/>
      <c r="AA247" s="5359"/>
      <c r="AB247" s="866"/>
      <c r="AC247" s="626"/>
      <c r="AD247" s="626"/>
      <c r="AE247" s="626"/>
      <c r="AF247" s="626"/>
      <c r="AG247" s="626"/>
      <c r="AH247" s="626"/>
      <c r="AI247" s="626"/>
      <c r="AJ247" s="626"/>
      <c r="AK247" s="626"/>
      <c r="AL247" s="626"/>
      <c r="AM247" s="626"/>
      <c r="AN247" s="626"/>
      <c r="AO247" s="626"/>
      <c r="AP247" s="626"/>
      <c r="AQ247" s="626"/>
      <c r="AR247" s="626"/>
      <c r="AS247" s="626"/>
      <c r="AT247" s="626"/>
      <c r="AU247" s="626"/>
      <c r="AV247" s="626"/>
      <c r="AW247" s="626"/>
      <c r="AX247" s="626"/>
      <c r="AY247" s="626"/>
      <c r="AZ247" s="626"/>
      <c r="BA247" s="841"/>
    </row>
    <row r="248" spans="1:53" ht="15" customHeight="1">
      <c r="A248" s="617"/>
      <c r="B248" s="617"/>
      <c r="C248" s="617"/>
      <c r="D248" s="617"/>
      <c r="E248" s="617"/>
      <c r="F248" s="617"/>
      <c r="G248" s="617"/>
      <c r="H248" s="617"/>
      <c r="I248" s="617"/>
      <c r="J248" s="617"/>
      <c r="K248" s="617"/>
      <c r="L248" s="617"/>
      <c r="M248" s="617"/>
      <c r="N248" s="617"/>
      <c r="O248" s="5357"/>
      <c r="P248" s="5358"/>
      <c r="Q248" s="5358"/>
      <c r="R248" s="5358"/>
      <c r="S248" s="5358"/>
      <c r="T248" s="5358"/>
      <c r="U248" s="5358"/>
      <c r="V248" s="5358"/>
      <c r="W248" s="5358"/>
      <c r="X248" s="5358"/>
      <c r="Y248" s="5358"/>
      <c r="Z248" s="5358"/>
      <c r="AA248" s="5359"/>
      <c r="AB248" s="866"/>
      <c r="AC248" s="626"/>
      <c r="AD248" s="626"/>
      <c r="AE248" s="626"/>
      <c r="AF248" s="626"/>
      <c r="AG248" s="626"/>
      <c r="AH248" s="626"/>
      <c r="AI248" s="626"/>
      <c r="AJ248" s="626"/>
      <c r="AK248" s="626"/>
      <c r="AL248" s="626"/>
      <c r="AM248" s="626"/>
      <c r="AN248" s="626"/>
      <c r="AO248" s="626"/>
      <c r="AP248" s="626"/>
      <c r="AQ248" s="626"/>
      <c r="AR248" s="626"/>
      <c r="AS248" s="626"/>
      <c r="AT248" s="626"/>
      <c r="AU248" s="626"/>
      <c r="AV248" s="626"/>
      <c r="AW248" s="626"/>
      <c r="AX248" s="626"/>
      <c r="AY248" s="626"/>
      <c r="AZ248" s="626"/>
      <c r="BA248" s="841"/>
    </row>
    <row r="249" spans="1:53" ht="15" customHeight="1">
      <c r="A249" s="617"/>
      <c r="B249" s="617"/>
      <c r="C249" s="617"/>
      <c r="D249" s="617"/>
      <c r="E249" s="617"/>
      <c r="F249" s="617"/>
      <c r="G249" s="617"/>
      <c r="H249" s="617"/>
      <c r="I249" s="617"/>
      <c r="J249" s="617"/>
      <c r="K249" s="617"/>
      <c r="L249" s="617"/>
      <c r="M249" s="617"/>
      <c r="N249" s="617"/>
      <c r="O249" s="5357"/>
      <c r="P249" s="5358"/>
      <c r="Q249" s="5358"/>
      <c r="R249" s="5358"/>
      <c r="S249" s="5358"/>
      <c r="T249" s="5358"/>
      <c r="U249" s="5358"/>
      <c r="V249" s="5358"/>
      <c r="W249" s="5358"/>
      <c r="X249" s="5358"/>
      <c r="Y249" s="5358"/>
      <c r="Z249" s="5358"/>
      <c r="AA249" s="5359"/>
      <c r="AB249" s="866"/>
      <c r="AC249" s="626"/>
      <c r="AD249" s="626"/>
      <c r="AE249" s="626"/>
      <c r="AF249" s="626"/>
      <c r="AG249" s="626"/>
      <c r="AH249" s="626"/>
      <c r="AI249" s="626"/>
      <c r="AJ249" s="626"/>
      <c r="AK249" s="626"/>
      <c r="AL249" s="626"/>
      <c r="AM249" s="626"/>
      <c r="AN249" s="626"/>
      <c r="AO249" s="626"/>
      <c r="AP249" s="626"/>
      <c r="AQ249" s="626"/>
      <c r="AR249" s="626"/>
      <c r="AS249" s="626"/>
      <c r="AT249" s="626"/>
      <c r="AU249" s="626"/>
      <c r="AV249" s="626"/>
      <c r="AW249" s="626"/>
      <c r="AX249" s="626"/>
      <c r="AY249" s="626"/>
      <c r="AZ249" s="626"/>
      <c r="BA249" s="841"/>
    </row>
    <row r="250" spans="1:53" ht="15" customHeight="1">
      <c r="A250" s="617"/>
      <c r="B250" s="617"/>
      <c r="C250" s="617"/>
      <c r="D250" s="617"/>
      <c r="E250" s="617"/>
      <c r="F250" s="617"/>
      <c r="G250" s="617"/>
      <c r="H250" s="617"/>
      <c r="I250" s="617"/>
      <c r="J250" s="617"/>
      <c r="K250" s="617"/>
      <c r="L250" s="617"/>
      <c r="M250" s="617"/>
      <c r="N250" s="617"/>
      <c r="O250" s="5357"/>
      <c r="P250" s="5358"/>
      <c r="Q250" s="5358"/>
      <c r="R250" s="5358"/>
      <c r="S250" s="5358"/>
      <c r="T250" s="5358"/>
      <c r="U250" s="5358"/>
      <c r="V250" s="5358"/>
      <c r="W250" s="5358"/>
      <c r="X250" s="5358"/>
      <c r="Y250" s="5358"/>
      <c r="Z250" s="5358"/>
      <c r="AA250" s="5359"/>
      <c r="AB250" s="866"/>
      <c r="AC250" s="626"/>
      <c r="AD250" s="626"/>
      <c r="AE250" s="626"/>
      <c r="AF250" s="626"/>
      <c r="AG250" s="626"/>
      <c r="AH250" s="626"/>
      <c r="AI250" s="626"/>
      <c r="AJ250" s="626"/>
      <c r="AK250" s="626"/>
      <c r="AL250" s="626"/>
      <c r="AM250" s="626"/>
      <c r="AN250" s="626"/>
      <c r="AO250" s="626"/>
      <c r="AP250" s="626"/>
      <c r="AQ250" s="626"/>
      <c r="AR250" s="626"/>
      <c r="AS250" s="626"/>
      <c r="AT250" s="626"/>
      <c r="AU250" s="626"/>
      <c r="AV250" s="626"/>
      <c r="AW250" s="626"/>
      <c r="AX250" s="626"/>
      <c r="AY250" s="626"/>
      <c r="AZ250" s="626"/>
      <c r="BA250" s="841"/>
    </row>
    <row r="251" spans="1:53" ht="15" customHeight="1">
      <c r="A251" s="617"/>
      <c r="B251" s="617"/>
      <c r="C251" s="617"/>
      <c r="D251" s="617"/>
      <c r="E251" s="617"/>
      <c r="F251" s="617"/>
      <c r="G251" s="617"/>
      <c r="H251" s="617"/>
      <c r="I251" s="617"/>
      <c r="J251" s="617"/>
      <c r="K251" s="617"/>
      <c r="L251" s="617"/>
      <c r="M251" s="617"/>
      <c r="N251" s="617"/>
      <c r="O251" s="5357"/>
      <c r="P251" s="5358"/>
      <c r="Q251" s="5358"/>
      <c r="R251" s="5358"/>
      <c r="S251" s="5358"/>
      <c r="T251" s="5358"/>
      <c r="U251" s="5358"/>
      <c r="V251" s="5358"/>
      <c r="W251" s="5358"/>
      <c r="X251" s="5358"/>
      <c r="Y251" s="5358"/>
      <c r="Z251" s="5358"/>
      <c r="AA251" s="5359"/>
      <c r="AB251" s="866"/>
      <c r="AC251" s="626"/>
      <c r="AD251" s="626"/>
      <c r="AE251" s="626"/>
      <c r="AF251" s="626"/>
      <c r="AG251" s="626"/>
      <c r="AH251" s="626"/>
      <c r="AI251" s="626"/>
      <c r="AJ251" s="626"/>
      <c r="AK251" s="626"/>
      <c r="AL251" s="626"/>
      <c r="AM251" s="626"/>
      <c r="AN251" s="626"/>
      <c r="AO251" s="626"/>
      <c r="AP251" s="626"/>
      <c r="AQ251" s="626"/>
      <c r="AR251" s="626"/>
      <c r="AS251" s="626"/>
      <c r="AT251" s="626"/>
      <c r="AU251" s="626"/>
      <c r="AV251" s="626"/>
      <c r="AW251" s="626"/>
      <c r="AX251" s="626"/>
      <c r="AY251" s="626"/>
      <c r="AZ251" s="626"/>
      <c r="BA251" s="841"/>
    </row>
    <row r="252" spans="1:53" ht="15" customHeight="1">
      <c r="A252" s="617"/>
      <c r="B252" s="617"/>
      <c r="C252" s="617"/>
      <c r="D252" s="617"/>
      <c r="E252" s="617"/>
      <c r="F252" s="617"/>
      <c r="G252" s="617"/>
      <c r="H252" s="617"/>
      <c r="I252" s="617"/>
      <c r="J252" s="617"/>
      <c r="K252" s="617"/>
      <c r="L252" s="617"/>
      <c r="M252" s="617"/>
      <c r="N252" s="617"/>
      <c r="O252" s="5357"/>
      <c r="P252" s="5358"/>
      <c r="Q252" s="5358"/>
      <c r="R252" s="5358"/>
      <c r="S252" s="5358"/>
      <c r="T252" s="5358"/>
      <c r="U252" s="5358"/>
      <c r="V252" s="5358"/>
      <c r="W252" s="5358"/>
      <c r="X252" s="5358"/>
      <c r="Y252" s="5358"/>
      <c r="Z252" s="5358"/>
      <c r="AA252" s="5359"/>
      <c r="AB252" s="866"/>
      <c r="AC252" s="626"/>
      <c r="AD252" s="626"/>
      <c r="AE252" s="626"/>
      <c r="AF252" s="626"/>
      <c r="AG252" s="626"/>
      <c r="AH252" s="626"/>
      <c r="AI252" s="626"/>
      <c r="AJ252" s="626"/>
      <c r="AK252" s="626"/>
      <c r="AL252" s="626"/>
      <c r="AM252" s="626"/>
      <c r="AN252" s="626"/>
      <c r="AO252" s="626"/>
      <c r="AP252" s="626"/>
      <c r="AQ252" s="626"/>
      <c r="AR252" s="626"/>
      <c r="AS252" s="626"/>
      <c r="AT252" s="626"/>
      <c r="AU252" s="626"/>
      <c r="AV252" s="626"/>
      <c r="AW252" s="626"/>
      <c r="AX252" s="626"/>
      <c r="AY252" s="626"/>
      <c r="AZ252" s="626"/>
      <c r="BA252" s="841"/>
    </row>
    <row r="253" spans="1:53" ht="15" customHeight="1">
      <c r="A253" s="617"/>
      <c r="B253" s="617"/>
      <c r="C253" s="617"/>
      <c r="D253" s="617"/>
      <c r="E253" s="617"/>
      <c r="F253" s="617"/>
      <c r="G253" s="617"/>
      <c r="H253" s="617"/>
      <c r="I253" s="617"/>
      <c r="J253" s="617"/>
      <c r="K253" s="617"/>
      <c r="L253" s="617"/>
      <c r="M253" s="617"/>
      <c r="N253" s="617"/>
      <c r="O253" s="5357"/>
      <c r="P253" s="5358"/>
      <c r="Q253" s="5358"/>
      <c r="R253" s="5358"/>
      <c r="S253" s="5358"/>
      <c r="T253" s="5358"/>
      <c r="U253" s="5358"/>
      <c r="V253" s="5358"/>
      <c r="W253" s="5358"/>
      <c r="X253" s="5358"/>
      <c r="Y253" s="5358"/>
      <c r="Z253" s="5358"/>
      <c r="AA253" s="5359"/>
      <c r="AB253" s="866"/>
      <c r="AC253" s="626"/>
      <c r="AD253" s="626"/>
      <c r="AE253" s="626"/>
      <c r="AF253" s="626"/>
      <c r="AG253" s="626"/>
      <c r="AH253" s="626"/>
      <c r="AI253" s="626"/>
      <c r="AJ253" s="626"/>
      <c r="AK253" s="626"/>
      <c r="AL253" s="626"/>
      <c r="AM253" s="626"/>
      <c r="AN253" s="626"/>
      <c r="AO253" s="626"/>
      <c r="AP253" s="626"/>
      <c r="AQ253" s="626"/>
      <c r="AR253" s="626"/>
      <c r="AS253" s="626"/>
      <c r="AT253" s="626"/>
      <c r="AU253" s="626"/>
      <c r="AV253" s="626"/>
      <c r="AW253" s="626"/>
      <c r="AX253" s="626"/>
      <c r="AY253" s="626"/>
      <c r="AZ253" s="626"/>
      <c r="BA253" s="841"/>
    </row>
    <row r="254" spans="1:53" ht="15" customHeight="1">
      <c r="A254" s="617"/>
      <c r="B254" s="617"/>
      <c r="C254" s="617"/>
      <c r="D254" s="617"/>
      <c r="E254" s="617"/>
      <c r="F254" s="617"/>
      <c r="G254" s="617"/>
      <c r="H254" s="617"/>
      <c r="I254" s="617"/>
      <c r="J254" s="617"/>
      <c r="K254" s="617"/>
      <c r="L254" s="617"/>
      <c r="M254" s="617"/>
      <c r="N254" s="617"/>
      <c r="O254" s="5357"/>
      <c r="P254" s="5358"/>
      <c r="Q254" s="5358"/>
      <c r="R254" s="5358"/>
      <c r="S254" s="5358"/>
      <c r="T254" s="5358"/>
      <c r="U254" s="5358"/>
      <c r="V254" s="5358"/>
      <c r="W254" s="5358"/>
      <c r="X254" s="5358"/>
      <c r="Y254" s="5358"/>
      <c r="Z254" s="5358"/>
      <c r="AA254" s="5359"/>
      <c r="AB254" s="866"/>
      <c r="AC254" s="626"/>
      <c r="AD254" s="626"/>
      <c r="AE254" s="626"/>
      <c r="AF254" s="626"/>
      <c r="AG254" s="626"/>
      <c r="AH254" s="626"/>
      <c r="AI254" s="626"/>
      <c r="AJ254" s="626"/>
      <c r="AK254" s="626"/>
      <c r="AL254" s="626"/>
      <c r="AM254" s="626"/>
      <c r="AN254" s="626"/>
      <c r="AO254" s="626"/>
      <c r="AP254" s="626"/>
      <c r="AQ254" s="626"/>
      <c r="AR254" s="626"/>
      <c r="AS254" s="626"/>
      <c r="AT254" s="626"/>
      <c r="AU254" s="626"/>
      <c r="AV254" s="626"/>
      <c r="AW254" s="626"/>
      <c r="AX254" s="626"/>
      <c r="AY254" s="626"/>
      <c r="AZ254" s="626"/>
      <c r="BA254" s="841"/>
    </row>
    <row r="255" spans="1:53" ht="15" customHeight="1">
      <c r="A255" s="617"/>
      <c r="B255" s="617"/>
      <c r="C255" s="617"/>
      <c r="D255" s="617"/>
      <c r="E255" s="617"/>
      <c r="F255" s="617"/>
      <c r="G255" s="617"/>
      <c r="H255" s="617"/>
      <c r="I255" s="617"/>
      <c r="J255" s="617"/>
      <c r="K255" s="617"/>
      <c r="L255" s="617"/>
      <c r="M255" s="617"/>
      <c r="N255" s="617"/>
      <c r="O255" s="5357"/>
      <c r="P255" s="5358"/>
      <c r="Q255" s="5358"/>
      <c r="R255" s="5358"/>
      <c r="S255" s="5358"/>
      <c r="T255" s="5358"/>
      <c r="U255" s="5358"/>
      <c r="V255" s="5358"/>
      <c r="W255" s="5358"/>
      <c r="X255" s="5358"/>
      <c r="Y255" s="5358"/>
      <c r="Z255" s="5358"/>
      <c r="AA255" s="5359"/>
      <c r="AB255" s="866"/>
      <c r="AC255" s="626"/>
      <c r="AD255" s="626"/>
      <c r="AE255" s="626"/>
      <c r="AF255" s="626"/>
      <c r="AG255" s="626"/>
      <c r="AH255" s="626"/>
      <c r="AI255" s="626"/>
      <c r="AJ255" s="626"/>
      <c r="AK255" s="626"/>
      <c r="AL255" s="626"/>
      <c r="AM255" s="626"/>
      <c r="AN255" s="626"/>
      <c r="AO255" s="626"/>
      <c r="AP255" s="626"/>
      <c r="AQ255" s="626"/>
      <c r="AR255" s="626"/>
      <c r="AS255" s="626"/>
      <c r="AT255" s="626"/>
      <c r="AU255" s="626"/>
      <c r="AV255" s="626"/>
      <c r="AW255" s="626"/>
      <c r="AX255" s="626"/>
      <c r="AY255" s="626"/>
      <c r="AZ255" s="626"/>
      <c r="BA255" s="841"/>
    </row>
    <row r="256" spans="1:53" ht="15" customHeight="1">
      <c r="A256" s="617"/>
      <c r="B256" s="617"/>
      <c r="C256" s="617"/>
      <c r="D256" s="617"/>
      <c r="E256" s="617"/>
      <c r="F256" s="617"/>
      <c r="G256" s="617"/>
      <c r="H256" s="617"/>
      <c r="I256" s="617"/>
      <c r="J256" s="617"/>
      <c r="K256" s="617"/>
      <c r="L256" s="617"/>
      <c r="M256" s="617"/>
      <c r="N256" s="617"/>
      <c r="O256" s="5357"/>
      <c r="P256" s="5358"/>
      <c r="Q256" s="5358"/>
      <c r="R256" s="5358"/>
      <c r="S256" s="5358"/>
      <c r="T256" s="5358"/>
      <c r="U256" s="5358"/>
      <c r="V256" s="5358"/>
      <c r="W256" s="5358"/>
      <c r="X256" s="5358"/>
      <c r="Y256" s="5358"/>
      <c r="Z256" s="5358"/>
      <c r="AA256" s="5359"/>
      <c r="AB256" s="866"/>
      <c r="AC256" s="626"/>
      <c r="AD256" s="626"/>
      <c r="AE256" s="626"/>
      <c r="AF256" s="626"/>
      <c r="AG256" s="626"/>
      <c r="AH256" s="626"/>
      <c r="AI256" s="626"/>
      <c r="AJ256" s="626"/>
      <c r="AK256" s="626"/>
      <c r="AL256" s="626"/>
      <c r="AM256" s="626"/>
      <c r="AN256" s="626"/>
      <c r="AO256" s="626"/>
      <c r="AP256" s="626"/>
      <c r="AQ256" s="626"/>
      <c r="AR256" s="626"/>
      <c r="AS256" s="626"/>
      <c r="AT256" s="626"/>
      <c r="AU256" s="626"/>
      <c r="AV256" s="626"/>
      <c r="AW256" s="626"/>
      <c r="AX256" s="626"/>
      <c r="AY256" s="626"/>
      <c r="AZ256" s="626"/>
      <c r="BA256" s="841"/>
    </row>
    <row r="257" spans="1:53" ht="15" customHeight="1">
      <c r="A257" s="617"/>
      <c r="B257" s="617"/>
      <c r="C257" s="617"/>
      <c r="D257" s="617"/>
      <c r="E257" s="617"/>
      <c r="F257" s="617"/>
      <c r="G257" s="617"/>
      <c r="H257" s="617"/>
      <c r="I257" s="617"/>
      <c r="J257" s="617"/>
      <c r="K257" s="617"/>
      <c r="L257" s="617"/>
      <c r="M257" s="617"/>
      <c r="N257" s="617"/>
      <c r="O257" s="5357"/>
      <c r="P257" s="5358"/>
      <c r="Q257" s="5358"/>
      <c r="R257" s="5358"/>
      <c r="S257" s="5358"/>
      <c r="T257" s="5358"/>
      <c r="U257" s="5358"/>
      <c r="V257" s="5358"/>
      <c r="W257" s="5358"/>
      <c r="X257" s="5358"/>
      <c r="Y257" s="5358"/>
      <c r="Z257" s="5358"/>
      <c r="AA257" s="5359"/>
      <c r="AB257" s="866"/>
      <c r="AC257" s="626"/>
      <c r="AD257" s="626"/>
      <c r="AE257" s="626"/>
      <c r="AF257" s="626"/>
      <c r="AG257" s="626"/>
      <c r="AH257" s="626"/>
      <c r="AI257" s="626"/>
      <c r="AJ257" s="626"/>
      <c r="AK257" s="626"/>
      <c r="AL257" s="626"/>
      <c r="AM257" s="626"/>
      <c r="AN257" s="626"/>
      <c r="AO257" s="626"/>
      <c r="AP257" s="626"/>
      <c r="AQ257" s="626"/>
      <c r="AR257" s="626"/>
      <c r="AS257" s="626"/>
      <c r="AT257" s="626"/>
      <c r="AU257" s="626"/>
      <c r="AV257" s="626"/>
      <c r="AW257" s="626"/>
      <c r="AX257" s="626"/>
      <c r="AY257" s="626"/>
      <c r="AZ257" s="626"/>
      <c r="BA257" s="841"/>
    </row>
    <row r="258" spans="1:53" ht="15" customHeight="1">
      <c r="A258" s="617"/>
      <c r="B258" s="617"/>
      <c r="C258" s="617"/>
      <c r="D258" s="617"/>
      <c r="E258" s="617"/>
      <c r="F258" s="617"/>
      <c r="G258" s="617"/>
      <c r="H258" s="617"/>
      <c r="I258" s="617"/>
      <c r="J258" s="617"/>
      <c r="K258" s="617"/>
      <c r="L258" s="617"/>
      <c r="M258" s="617"/>
      <c r="N258" s="617"/>
      <c r="O258" s="5357"/>
      <c r="P258" s="5358"/>
      <c r="Q258" s="5358"/>
      <c r="R258" s="5358"/>
      <c r="S258" s="5358"/>
      <c r="T258" s="5358"/>
      <c r="U258" s="5358"/>
      <c r="V258" s="5358"/>
      <c r="W258" s="5358"/>
      <c r="X258" s="5358"/>
      <c r="Y258" s="5358"/>
      <c r="Z258" s="5358"/>
      <c r="AA258" s="5359"/>
      <c r="AB258" s="866"/>
      <c r="AC258" s="626"/>
      <c r="AD258" s="626"/>
      <c r="AE258" s="626"/>
      <c r="AF258" s="626"/>
      <c r="AG258" s="626"/>
      <c r="AH258" s="626"/>
      <c r="AI258" s="626"/>
      <c r="AJ258" s="626"/>
      <c r="AK258" s="626"/>
      <c r="AL258" s="626"/>
      <c r="AM258" s="626"/>
      <c r="AN258" s="626"/>
      <c r="AO258" s="626"/>
      <c r="AP258" s="626"/>
      <c r="AQ258" s="626"/>
      <c r="AR258" s="626"/>
      <c r="AS258" s="626"/>
      <c r="AT258" s="626"/>
      <c r="AU258" s="626"/>
      <c r="AV258" s="626"/>
      <c r="AW258" s="626"/>
      <c r="AX258" s="626"/>
      <c r="AY258" s="626"/>
      <c r="AZ258" s="626"/>
      <c r="BA258" s="841"/>
    </row>
    <row r="259" spans="1:53" ht="15" customHeight="1">
      <c r="A259" s="617"/>
      <c r="B259" s="617"/>
      <c r="C259" s="617"/>
      <c r="D259" s="617"/>
      <c r="E259" s="617"/>
      <c r="F259" s="617"/>
      <c r="G259" s="617"/>
      <c r="H259" s="617"/>
      <c r="I259" s="617"/>
      <c r="J259" s="617"/>
      <c r="K259" s="617"/>
      <c r="L259" s="617"/>
      <c r="M259" s="617"/>
      <c r="N259" s="617"/>
      <c r="O259" s="5360"/>
      <c r="P259" s="5361"/>
      <c r="Q259" s="5361"/>
      <c r="R259" s="5361"/>
      <c r="S259" s="5361"/>
      <c r="T259" s="5361"/>
      <c r="U259" s="5361"/>
      <c r="V259" s="5361"/>
      <c r="W259" s="5361"/>
      <c r="X259" s="5361"/>
      <c r="Y259" s="5361"/>
      <c r="Z259" s="5361"/>
      <c r="AA259" s="5362"/>
      <c r="AB259" s="866"/>
      <c r="AC259" s="626"/>
      <c r="AD259" s="626"/>
      <c r="AE259" s="626"/>
      <c r="AF259" s="626"/>
      <c r="AG259" s="626"/>
      <c r="AH259" s="626"/>
      <c r="AI259" s="626"/>
      <c r="AJ259" s="626"/>
      <c r="AK259" s="626"/>
      <c r="AL259" s="626"/>
      <c r="AM259" s="626"/>
      <c r="AN259" s="626"/>
      <c r="AO259" s="626"/>
      <c r="AP259" s="626"/>
      <c r="AQ259" s="626"/>
      <c r="AR259" s="626"/>
      <c r="AS259" s="626"/>
      <c r="AT259" s="626"/>
      <c r="AU259" s="626"/>
      <c r="AV259" s="626"/>
      <c r="AW259" s="626"/>
      <c r="AX259" s="626"/>
      <c r="AY259" s="626"/>
      <c r="AZ259" s="626"/>
      <c r="BA259" s="841"/>
    </row>
    <row r="260" spans="1:53" ht="15" customHeight="1">
      <c r="A260" s="617"/>
      <c r="B260" s="617"/>
      <c r="C260" s="617"/>
      <c r="D260" s="617"/>
      <c r="E260" s="617"/>
      <c r="F260" s="617"/>
      <c r="G260" s="617"/>
      <c r="H260" s="617"/>
      <c r="I260" s="617"/>
      <c r="J260" s="617"/>
      <c r="K260" s="617"/>
      <c r="L260" s="617"/>
      <c r="M260" s="617"/>
      <c r="N260" s="617"/>
      <c r="O260" s="617"/>
      <c r="P260" s="867"/>
      <c r="Q260" s="867"/>
      <c r="R260" s="867"/>
      <c r="S260" s="867"/>
      <c r="T260" s="867"/>
      <c r="U260" s="1892"/>
      <c r="V260" s="1892"/>
      <c r="W260" s="1892"/>
      <c r="X260" s="1892"/>
      <c r="Y260" s="1892"/>
      <c r="Z260" s="1892"/>
      <c r="AA260" s="1892"/>
      <c r="AB260" s="866"/>
      <c r="AC260" s="626"/>
      <c r="AD260" s="626"/>
      <c r="AE260" s="626"/>
      <c r="AF260" s="626"/>
      <c r="AG260" s="626"/>
      <c r="AH260" s="626"/>
      <c r="AI260" s="626"/>
      <c r="AJ260" s="626"/>
      <c r="AK260" s="626"/>
      <c r="AL260" s="626"/>
      <c r="AM260" s="626"/>
      <c r="AN260" s="626"/>
      <c r="AO260" s="626"/>
      <c r="AP260" s="626"/>
      <c r="AQ260" s="626"/>
      <c r="AR260" s="626"/>
      <c r="AS260" s="626"/>
      <c r="AT260" s="626"/>
      <c r="AU260" s="626"/>
      <c r="AV260" s="626"/>
      <c r="AW260" s="626"/>
      <c r="AX260" s="626"/>
      <c r="AY260" s="626"/>
      <c r="AZ260" s="626"/>
      <c r="BA260" s="841"/>
    </row>
    <row r="261" spans="1:53" ht="15" customHeight="1">
      <c r="A261" s="617"/>
      <c r="B261" s="617"/>
      <c r="C261" s="617"/>
      <c r="D261" s="617"/>
      <c r="E261" s="617"/>
      <c r="F261" s="617"/>
      <c r="G261" s="617"/>
      <c r="H261" s="617"/>
      <c r="I261" s="617"/>
      <c r="J261" s="617"/>
      <c r="K261" s="617"/>
      <c r="L261" s="2670"/>
      <c r="M261" s="2670"/>
      <c r="N261" s="2670"/>
      <c r="O261" s="2670"/>
      <c r="P261" s="2670"/>
      <c r="Q261" s="2670"/>
      <c r="R261" s="2670"/>
      <c r="S261" s="865"/>
      <c r="T261" s="865"/>
      <c r="U261" s="865"/>
      <c r="V261" s="865"/>
      <c r="W261" s="5363"/>
      <c r="X261" s="5363"/>
      <c r="Y261" s="5363"/>
      <c r="Z261" s="5364" t="s">
        <v>231</v>
      </c>
      <c r="AA261" s="5364"/>
      <c r="AB261" s="2670"/>
      <c r="AC261" s="626"/>
      <c r="AD261" s="626"/>
      <c r="AE261" s="626"/>
      <c r="AF261" s="626"/>
      <c r="AG261" s="626"/>
      <c r="AH261" s="626"/>
      <c r="AI261" s="626"/>
      <c r="AJ261" s="626"/>
      <c r="AK261" s="626"/>
      <c r="AL261" s="626"/>
      <c r="AM261" s="626"/>
      <c r="AN261" s="626"/>
      <c r="AO261" s="626"/>
      <c r="AP261" s="626"/>
      <c r="AQ261" s="626"/>
      <c r="AR261" s="626"/>
      <c r="AS261" s="626"/>
      <c r="AT261" s="626"/>
      <c r="AU261" s="626"/>
      <c r="AV261" s="626"/>
      <c r="AW261" s="626"/>
      <c r="AX261" s="626"/>
      <c r="AY261" s="626"/>
      <c r="AZ261" s="626"/>
      <c r="BA261" s="841"/>
    </row>
    <row r="262" spans="1:53" ht="15" customHeight="1">
      <c r="A262" s="617"/>
      <c r="B262" s="617"/>
      <c r="C262" s="617"/>
      <c r="D262" s="617"/>
      <c r="E262" s="617"/>
      <c r="F262" s="617"/>
      <c r="G262" s="617"/>
      <c r="H262" s="617"/>
      <c r="I262" s="617"/>
      <c r="J262" s="617"/>
      <c r="K262" s="638"/>
      <c r="L262" s="453"/>
      <c r="M262" s="453"/>
      <c r="N262" s="453"/>
      <c r="O262" s="453"/>
      <c r="P262" s="453"/>
      <c r="Q262" s="453"/>
      <c r="R262" s="453"/>
      <c r="S262" s="867"/>
      <c r="T262" s="867"/>
      <c r="U262" s="1892"/>
      <c r="V262" s="1892"/>
      <c r="W262" s="5384" t="s">
        <v>370</v>
      </c>
      <c r="X262" s="5384"/>
      <c r="Y262" s="5384"/>
      <c r="Z262" s="5386" t="s">
        <v>1</v>
      </c>
      <c r="AA262" s="5386"/>
      <c r="AB262" s="5386"/>
      <c r="AC262" s="626"/>
      <c r="AD262" s="626"/>
      <c r="AE262" s="626"/>
      <c r="AF262" s="626"/>
      <c r="AG262" s="626"/>
      <c r="AH262" s="626"/>
      <c r="AI262" s="626"/>
      <c r="AJ262" s="626"/>
      <c r="AK262" s="626"/>
      <c r="AL262" s="626"/>
      <c r="AM262" s="626"/>
      <c r="AN262" s="626"/>
      <c r="AO262" s="626"/>
      <c r="AP262" s="626"/>
      <c r="AQ262" s="626"/>
      <c r="AR262" s="626"/>
      <c r="AS262" s="626"/>
      <c r="AT262" s="626"/>
      <c r="AU262" s="626"/>
      <c r="AV262" s="626"/>
      <c r="AW262" s="626"/>
      <c r="AX262" s="626"/>
      <c r="AY262" s="626"/>
      <c r="AZ262" s="626"/>
      <c r="BA262" s="841"/>
    </row>
    <row r="263" spans="1:53" ht="15" customHeight="1">
      <c r="A263" s="617"/>
      <c r="B263" s="617"/>
      <c r="C263" s="617"/>
      <c r="D263" s="617"/>
      <c r="E263" s="617"/>
      <c r="F263" s="617"/>
      <c r="G263" s="617"/>
      <c r="H263" s="617"/>
      <c r="I263" s="617"/>
      <c r="J263" s="617"/>
      <c r="K263" s="617"/>
      <c r="L263" s="3526"/>
      <c r="M263" s="3526"/>
      <c r="N263" s="3526"/>
      <c r="O263" s="3526"/>
      <c r="P263" s="3526"/>
      <c r="Q263" s="3526"/>
      <c r="R263" s="3526"/>
      <c r="S263" s="2669"/>
      <c r="T263" s="865"/>
      <c r="U263" s="865"/>
      <c r="V263" s="865"/>
      <c r="W263" s="5387" t="s">
        <v>1067</v>
      </c>
      <c r="X263" s="5387"/>
      <c r="Y263" s="5387"/>
      <c r="Z263" s="5386" t="s">
        <v>1068</v>
      </c>
      <c r="AA263" s="5386"/>
      <c r="AB263" s="3526"/>
      <c r="AC263" s="626"/>
      <c r="AD263" s="626"/>
      <c r="AE263" s="626"/>
      <c r="AF263" s="626"/>
      <c r="AG263" s="626"/>
      <c r="AH263" s="626"/>
      <c r="AI263" s="626"/>
      <c r="AJ263" s="626"/>
      <c r="AK263" s="626"/>
      <c r="AL263" s="626"/>
      <c r="AM263" s="626"/>
      <c r="AN263" s="626"/>
      <c r="AO263" s="626"/>
      <c r="AP263" s="626"/>
      <c r="AQ263" s="626"/>
      <c r="AR263" s="626"/>
      <c r="AS263" s="626"/>
      <c r="AT263" s="626"/>
      <c r="AU263" s="626"/>
      <c r="AV263" s="626"/>
      <c r="AW263" s="626"/>
      <c r="AX263" s="626"/>
      <c r="AY263" s="626"/>
      <c r="AZ263" s="626"/>
      <c r="BA263" s="841"/>
    </row>
    <row r="264" spans="1:53" ht="15" customHeight="1">
      <c r="A264" s="617"/>
      <c r="B264" s="617"/>
      <c r="C264" s="617"/>
      <c r="D264" s="617"/>
      <c r="E264" s="617"/>
      <c r="F264" s="617"/>
      <c r="G264" s="617"/>
      <c r="H264" s="617"/>
      <c r="I264" s="617"/>
      <c r="J264" s="617"/>
      <c r="K264" s="617"/>
      <c r="L264" s="2669"/>
      <c r="M264" s="2669"/>
      <c r="N264" s="2669"/>
      <c r="O264" s="2669"/>
      <c r="P264" s="2669"/>
      <c r="Q264" s="2669"/>
      <c r="R264" s="2669"/>
      <c r="S264" s="867"/>
      <c r="T264" s="867"/>
      <c r="U264" s="1892"/>
      <c r="V264" s="1892"/>
      <c r="W264" s="5384" t="s">
        <v>1672</v>
      </c>
      <c r="X264" s="5384"/>
      <c r="Y264" s="5384"/>
      <c r="Z264" s="5386" t="s">
        <v>233</v>
      </c>
      <c r="AA264" s="5386"/>
      <c r="AB264" s="5386"/>
      <c r="AC264" s="626"/>
      <c r="AD264" s="626"/>
      <c r="AE264" s="626"/>
      <c r="AF264" s="626"/>
      <c r="AG264" s="626"/>
      <c r="AH264" s="626"/>
      <c r="AI264" s="626"/>
      <c r="AJ264" s="626"/>
      <c r="AK264" s="626"/>
      <c r="AL264" s="626"/>
      <c r="AM264" s="626"/>
      <c r="AN264" s="626"/>
      <c r="AO264" s="626"/>
      <c r="AP264" s="626"/>
      <c r="AQ264" s="626"/>
      <c r="AR264" s="626"/>
      <c r="AS264" s="626"/>
      <c r="AT264" s="626"/>
      <c r="AU264" s="626"/>
      <c r="AV264" s="626"/>
      <c r="AW264" s="626"/>
      <c r="AX264" s="626"/>
      <c r="AY264" s="626"/>
      <c r="AZ264" s="626"/>
      <c r="BA264" s="841"/>
    </row>
    <row r="265" spans="1:53" ht="15" customHeight="1">
      <c r="A265" s="3915" t="s">
        <v>1673</v>
      </c>
      <c r="B265" s="3915"/>
      <c r="C265" s="3915"/>
      <c r="D265" s="3915"/>
      <c r="E265" s="3915"/>
      <c r="F265" s="617"/>
      <c r="G265" s="617"/>
      <c r="H265" s="617"/>
      <c r="I265" s="617"/>
      <c r="J265" s="617"/>
      <c r="K265" s="617"/>
      <c r="L265" s="865"/>
      <c r="M265" s="865"/>
      <c r="N265" s="865"/>
      <c r="O265" s="865"/>
      <c r="P265" s="865"/>
      <c r="Q265" s="865"/>
      <c r="R265" s="865"/>
      <c r="S265" s="865"/>
      <c r="T265" s="865"/>
      <c r="U265" s="865"/>
      <c r="V265" s="865"/>
      <c r="W265" s="5384" t="s">
        <v>234</v>
      </c>
      <c r="X265" s="5384"/>
      <c r="Y265" s="5384"/>
      <c r="Z265" s="5385" t="s">
        <v>235</v>
      </c>
      <c r="AA265" s="5385"/>
      <c r="AB265" s="5385"/>
      <c r="AC265" s="626"/>
      <c r="AD265" s="626"/>
      <c r="AE265" s="626"/>
      <c r="AF265" s="626"/>
      <c r="AG265" s="626"/>
      <c r="AH265" s="626"/>
      <c r="AI265" s="626"/>
      <c r="AJ265" s="626"/>
      <c r="AK265" s="626"/>
      <c r="AL265" s="626"/>
      <c r="AM265" s="626"/>
      <c r="AN265" s="626"/>
      <c r="AO265" s="626"/>
      <c r="AP265" s="626"/>
      <c r="AQ265" s="626"/>
      <c r="AR265" s="626"/>
      <c r="AS265" s="626"/>
      <c r="AT265" s="626"/>
      <c r="AU265" s="626"/>
      <c r="AV265" s="626"/>
      <c r="AW265" s="626"/>
      <c r="AX265" s="626"/>
      <c r="AY265" s="626"/>
      <c r="AZ265" s="626"/>
      <c r="BA265" s="841"/>
    </row>
    <row r="266" spans="1:53">
      <c r="A266" s="453"/>
      <c r="B266" s="453"/>
      <c r="C266" s="453"/>
      <c r="D266" s="453"/>
      <c r="E266" s="453"/>
      <c r="F266" s="453"/>
      <c r="G266" s="453"/>
      <c r="H266" s="453"/>
      <c r="I266" s="453"/>
      <c r="J266" s="453"/>
      <c r="K266" s="453"/>
      <c r="L266" s="453"/>
      <c r="M266" s="453"/>
      <c r="N266" s="453"/>
      <c r="O266" s="453"/>
      <c r="P266" s="453"/>
      <c r="Q266" s="453"/>
      <c r="R266" s="453"/>
      <c r="S266" s="453"/>
      <c r="T266" s="453"/>
      <c r="U266" s="453"/>
      <c r="V266" s="453"/>
      <c r="W266" s="453"/>
      <c r="X266" s="453"/>
      <c r="Y266" s="453"/>
      <c r="Z266" s="453"/>
      <c r="AA266" s="453"/>
      <c r="AB266" s="453"/>
      <c r="AC266" s="626"/>
      <c r="AD266" s="626"/>
      <c r="AE266" s="626"/>
      <c r="AF266" s="626"/>
      <c r="AG266" s="626"/>
      <c r="AH266" s="626"/>
      <c r="AI266" s="626"/>
      <c r="AJ266" s="626"/>
      <c r="AK266" s="626"/>
      <c r="AL266" s="626"/>
      <c r="AM266" s="626"/>
      <c r="AN266" s="626"/>
      <c r="AO266" s="626"/>
      <c r="AP266" s="626"/>
      <c r="AQ266" s="626"/>
      <c r="AR266" s="626"/>
      <c r="AS266" s="626"/>
      <c r="AT266" s="626"/>
      <c r="AU266" s="626"/>
      <c r="AV266" s="626"/>
      <c r="AW266" s="626"/>
      <c r="AX266" s="626"/>
      <c r="AY266" s="626"/>
      <c r="AZ266" s="626"/>
      <c r="BA266" s="626"/>
    </row>
  </sheetData>
  <sheetProtection password="FA80" sheet="1" objects="1" scenarios="1"/>
  <mergeCells count="239">
    <mergeCell ref="A265:E265"/>
    <mergeCell ref="W265:Y265"/>
    <mergeCell ref="Z265:AB265"/>
    <mergeCell ref="W262:Y262"/>
    <mergeCell ref="Z262:AB262"/>
    <mergeCell ref="W263:Y263"/>
    <mergeCell ref="Z263:AA263"/>
    <mergeCell ref="W264:Y264"/>
    <mergeCell ref="Z264:AB264"/>
    <mergeCell ref="I225:K225"/>
    <mergeCell ref="O227:Q227"/>
    <mergeCell ref="O228:R228"/>
    <mergeCell ref="O229:AA259"/>
    <mergeCell ref="W261:Y261"/>
    <mergeCell ref="Z261:AA261"/>
    <mergeCell ref="B216:F216"/>
    <mergeCell ref="S216:AA225"/>
    <mergeCell ref="I217:K217"/>
    <mergeCell ref="I218:K218"/>
    <mergeCell ref="I219:K219"/>
    <mergeCell ref="I220:K220"/>
    <mergeCell ref="I221:K221"/>
    <mergeCell ref="I222:K222"/>
    <mergeCell ref="I223:K223"/>
    <mergeCell ref="I224:K224"/>
    <mergeCell ref="B214:G214"/>
    <mergeCell ref="I215:K215"/>
    <mergeCell ref="L215:M215"/>
    <mergeCell ref="N215:O215"/>
    <mergeCell ref="P215:Q215"/>
    <mergeCell ref="S215:T215"/>
    <mergeCell ref="I210:N210"/>
    <mergeCell ref="O210:T210"/>
    <mergeCell ref="U210:Z210"/>
    <mergeCell ref="I211:N212"/>
    <mergeCell ref="O211:T212"/>
    <mergeCell ref="U211:Z212"/>
    <mergeCell ref="AA201:AA213"/>
    <mergeCell ref="G202:H202"/>
    <mergeCell ref="G203:H203"/>
    <mergeCell ref="G204:H204"/>
    <mergeCell ref="D205:F205"/>
    <mergeCell ref="G205:H205"/>
    <mergeCell ref="G206:H206"/>
    <mergeCell ref="G207:H207"/>
    <mergeCell ref="I207:N207"/>
    <mergeCell ref="O207:T207"/>
    <mergeCell ref="U207:Z207"/>
    <mergeCell ref="G208:H208"/>
    <mergeCell ref="I208:N208"/>
    <mergeCell ref="O208:T208"/>
    <mergeCell ref="U208:Z208"/>
    <mergeCell ref="D209:E209"/>
    <mergeCell ref="G209:H209"/>
    <mergeCell ref="I209:N209"/>
    <mergeCell ref="O209:T209"/>
    <mergeCell ref="U209:Z209"/>
    <mergeCell ref="B213:G213"/>
    <mergeCell ref="I213:Z213"/>
    <mergeCell ref="A194:A199"/>
    <mergeCell ref="A200:A204"/>
    <mergeCell ref="J200:N200"/>
    <mergeCell ref="P200:T200"/>
    <mergeCell ref="V200:Z200"/>
    <mergeCell ref="G201:H201"/>
    <mergeCell ref="J201:N202"/>
    <mergeCell ref="P201:T202"/>
    <mergeCell ref="V201:Z202"/>
    <mergeCell ref="D178:D179"/>
    <mergeCell ref="D183:F183"/>
    <mergeCell ref="A185:A190"/>
    <mergeCell ref="A191:A193"/>
    <mergeCell ref="M168:R168"/>
    <mergeCell ref="M169:O169"/>
    <mergeCell ref="B172:Z172"/>
    <mergeCell ref="B173:B174"/>
    <mergeCell ref="C173:F173"/>
    <mergeCell ref="G173:H175"/>
    <mergeCell ref="I173:T173"/>
    <mergeCell ref="U173:Z174"/>
    <mergeCell ref="C174:F174"/>
    <mergeCell ref="I174:N174"/>
    <mergeCell ref="D168:D169"/>
    <mergeCell ref="F168:F169"/>
    <mergeCell ref="E175:E182"/>
    <mergeCell ref="F175:F182"/>
    <mergeCell ref="G143:H143"/>
    <mergeCell ref="G144:H144"/>
    <mergeCell ref="G145:H145"/>
    <mergeCell ref="O174:T174"/>
    <mergeCell ref="B137:B138"/>
    <mergeCell ref="C137:F137"/>
    <mergeCell ref="G137:H137"/>
    <mergeCell ref="I137:L137"/>
    <mergeCell ref="N137:O137"/>
    <mergeCell ref="C138:D138"/>
    <mergeCell ref="A116:A118"/>
    <mergeCell ref="A119:A124"/>
    <mergeCell ref="A125:A129"/>
    <mergeCell ref="E138:F138"/>
    <mergeCell ref="G138:H138"/>
    <mergeCell ref="I138:L138"/>
    <mergeCell ref="N138:S166"/>
    <mergeCell ref="G139:H139"/>
    <mergeCell ref="G140:H140"/>
    <mergeCell ref="G141:H141"/>
    <mergeCell ref="D133:E133"/>
    <mergeCell ref="K133:P133"/>
    <mergeCell ref="D134:E134"/>
    <mergeCell ref="K134:M134"/>
    <mergeCell ref="B147:B148"/>
    <mergeCell ref="A150:A151"/>
    <mergeCell ref="A152:A157"/>
    <mergeCell ref="A158:A162"/>
    <mergeCell ref="Q125:AA125"/>
    <mergeCell ref="Q126:AA126"/>
    <mergeCell ref="Q127:AA127"/>
    <mergeCell ref="D142:D143"/>
    <mergeCell ref="F142:F143"/>
    <mergeCell ref="G142:H142"/>
    <mergeCell ref="AC106:AZ106"/>
    <mergeCell ref="B107:F107"/>
    <mergeCell ref="A109:A115"/>
    <mergeCell ref="B110:F110"/>
    <mergeCell ref="G99:I99"/>
    <mergeCell ref="G100:H100"/>
    <mergeCell ref="G101:H101"/>
    <mergeCell ref="D102:D103"/>
    <mergeCell ref="G102:H102"/>
    <mergeCell ref="G103:H103"/>
    <mergeCell ref="C95:F95"/>
    <mergeCell ref="G95:J96"/>
    <mergeCell ref="L95:M95"/>
    <mergeCell ref="L96:P131"/>
    <mergeCell ref="D97:E97"/>
    <mergeCell ref="G97:I97"/>
    <mergeCell ref="J97:J106"/>
    <mergeCell ref="D98:E98"/>
    <mergeCell ref="G98:I98"/>
    <mergeCell ref="E99:F106"/>
    <mergeCell ref="G104:H104"/>
    <mergeCell ref="G105:H105"/>
    <mergeCell ref="G106:H106"/>
    <mergeCell ref="A74:A76"/>
    <mergeCell ref="A77:A82"/>
    <mergeCell ref="A83:A87"/>
    <mergeCell ref="D91:E91"/>
    <mergeCell ref="K91:O91"/>
    <mergeCell ref="D92:E92"/>
    <mergeCell ref="K92:M92"/>
    <mergeCell ref="B64:F64"/>
    <mergeCell ref="G64:H64"/>
    <mergeCell ref="X65:Y65"/>
    <mergeCell ref="X66:Y66"/>
    <mergeCell ref="A68:A73"/>
    <mergeCell ref="G61:H61"/>
    <mergeCell ref="X61:Y61"/>
    <mergeCell ref="G62:H62"/>
    <mergeCell ref="X62:Y62"/>
    <mergeCell ref="G63:H63"/>
    <mergeCell ref="X63:Y63"/>
    <mergeCell ref="X56:Y56"/>
    <mergeCell ref="G57:I57"/>
    <mergeCell ref="J57:J64"/>
    <mergeCell ref="X57:Y57"/>
    <mergeCell ref="G58:H58"/>
    <mergeCell ref="X58:Y58"/>
    <mergeCell ref="G59:H59"/>
    <mergeCell ref="X59:Y59"/>
    <mergeCell ref="G60:H60"/>
    <mergeCell ref="X60:Y60"/>
    <mergeCell ref="X64:Y64"/>
    <mergeCell ref="M46:T47"/>
    <mergeCell ref="L49:O49"/>
    <mergeCell ref="G50:K50"/>
    <mergeCell ref="B53:J54"/>
    <mergeCell ref="L54:M54"/>
    <mergeCell ref="C55:F55"/>
    <mergeCell ref="G55:J56"/>
    <mergeCell ref="L55:T89"/>
    <mergeCell ref="E56:F63"/>
    <mergeCell ref="D59:D60"/>
    <mergeCell ref="S40:T40"/>
    <mergeCell ref="A41:A45"/>
    <mergeCell ref="N42:O42"/>
    <mergeCell ref="P42:Q42"/>
    <mergeCell ref="N43:O43"/>
    <mergeCell ref="P43:Q43"/>
    <mergeCell ref="M45:N45"/>
    <mergeCell ref="A32:A34"/>
    <mergeCell ref="M34:P34"/>
    <mergeCell ref="A35:A40"/>
    <mergeCell ref="M35:Q35"/>
    <mergeCell ref="M36:Q36"/>
    <mergeCell ref="M37:R37"/>
    <mergeCell ref="M39:N39"/>
    <mergeCell ref="N40:Q40"/>
    <mergeCell ref="G21:H21"/>
    <mergeCell ref="G22:H22"/>
    <mergeCell ref="G23:H23"/>
    <mergeCell ref="G24:H24"/>
    <mergeCell ref="G14:K15"/>
    <mergeCell ref="G16:K16"/>
    <mergeCell ref="A26:A31"/>
    <mergeCell ref="M27:N27"/>
    <mergeCell ref="M28:O28"/>
    <mergeCell ref="M29:O29"/>
    <mergeCell ref="C14:F14"/>
    <mergeCell ref="M14:N14"/>
    <mergeCell ref="M15:T25"/>
    <mergeCell ref="G17:K17"/>
    <mergeCell ref="F18:F19"/>
    <mergeCell ref="G18:H18"/>
    <mergeCell ref="G19:H19"/>
    <mergeCell ref="G20:H20"/>
    <mergeCell ref="I7:L7"/>
    <mergeCell ref="I8:K8"/>
    <mergeCell ref="M8:S8"/>
    <mergeCell ref="A1:B1"/>
    <mergeCell ref="E9:F9"/>
    <mergeCell ref="I9:K9"/>
    <mergeCell ref="M9:N9"/>
    <mergeCell ref="E10:F10"/>
    <mergeCell ref="E11:F11"/>
    <mergeCell ref="P11:T12"/>
    <mergeCell ref="D12:G12"/>
    <mergeCell ref="J12:K12"/>
    <mergeCell ref="M12:N12"/>
    <mergeCell ref="Z1:AB1"/>
    <mergeCell ref="AC1:AZ1"/>
    <mergeCell ref="Y2:AB2"/>
    <mergeCell ref="A3:B3"/>
    <mergeCell ref="H3:N3"/>
    <mergeCell ref="Y3:AB3"/>
    <mergeCell ref="B4:E4"/>
    <mergeCell ref="P4:T5"/>
    <mergeCell ref="V4:X4"/>
    <mergeCell ref="B5:I5"/>
    <mergeCell ref="I1:N1"/>
  </mergeCells>
  <conditionalFormatting sqref="C208 C166 E166 C133 C91 C49:E49 L8">
    <cfRule type="cellIs" dxfId="28" priority="17" operator="notEqual">
      <formula>75</formula>
    </cfRule>
    <cfRule type="cellIs" dxfId="27" priority="18" operator="notEqual">
      <formula>75</formula>
    </cfRule>
    <cfRule type="cellIs" dxfId="26" priority="19" operator="notEqual">
      <formula>75</formula>
    </cfRule>
    <cfRule type="cellIs" dxfId="25" priority="20" operator="notEqual">
      <formula>75</formula>
    </cfRule>
  </conditionalFormatting>
  <conditionalFormatting sqref="C208 C166 E166 C133 C91 C49:E49 L8">
    <cfRule type="cellIs" dxfId="24" priority="16" operator="notEqual">
      <formula>75</formula>
    </cfRule>
  </conditionalFormatting>
  <conditionalFormatting sqref="C208 C166 E166 C133 C91 C49:E49 L8">
    <cfRule type="cellIs" dxfId="23" priority="13" operator="notEqual">
      <formula>75</formula>
    </cfRule>
    <cfRule type="cellIs" dxfId="22" priority="14" operator="notEqual">
      <formula>75</formula>
    </cfRule>
    <cfRule type="cellIs" dxfId="21" priority="15" operator="notEqual">
      <formula>75</formula>
    </cfRule>
  </conditionalFormatting>
  <conditionalFormatting sqref="C208 C166 E166 C133 C91 C49:E49 L8">
    <cfRule type="cellIs" dxfId="20" priority="11" operator="notEqual">
      <formula>75</formula>
    </cfRule>
    <cfRule type="cellIs" dxfId="19" priority="12" operator="notEqual">
      <formula>75</formula>
    </cfRule>
  </conditionalFormatting>
  <conditionalFormatting sqref="L8">
    <cfRule type="cellIs" dxfId="18" priority="4" operator="notEqual">
      <formula>75</formula>
    </cfRule>
    <cfRule type="cellIs" dxfId="17" priority="5" operator="notEqual">
      <formula>75</formula>
    </cfRule>
    <cfRule type="cellIs" dxfId="16" priority="6" operator="notEqual">
      <formula>75</formula>
    </cfRule>
    <cfRule type="cellIs" dxfId="15" priority="7" operator="notEqual">
      <formula>75</formula>
    </cfRule>
    <cfRule type="cellIs" dxfId="14" priority="8" operator="notEqual">
      <formula>75</formula>
    </cfRule>
    <cfRule type="cellIs" dxfId="13" priority="9" operator="notEqual">
      <formula>75</formula>
    </cfRule>
    <cfRule type="cellIs" dxfId="12" priority="10" operator="notEqual">
      <formula>75</formula>
    </cfRule>
  </conditionalFormatting>
  <conditionalFormatting sqref="V203:Z203">
    <cfRule type="cellIs" dxfId="11" priority="3" operator="greaterThan">
      <formula>U203</formula>
    </cfRule>
  </conditionalFormatting>
  <conditionalFormatting sqref="J203:N203">
    <cfRule type="cellIs" dxfId="10" priority="2" operator="greaterThan">
      <formula>I203</formula>
    </cfRule>
  </conditionalFormatting>
  <conditionalFormatting sqref="P203:T203">
    <cfRule type="cellIs" dxfId="9" priority="1" operator="greaterThan">
      <formula>O203</formula>
    </cfRule>
  </conditionalFormatting>
  <hyperlinks>
    <hyperlink ref="Y2" r:id="rId1"/>
    <hyperlink ref="G96" location="'Beer Scaling Calc'!C4" display="% See cell C4"/>
    <hyperlink ref="H98" location="'Beer Scaling Calc'!I8" display="% See cell I8"/>
    <hyperlink ref="I98" location="'Beer Scaling Calc'!I8" display="% See cell I8"/>
    <hyperlink ref="D205" location="'Beer Scaling Calc'!B182" display="'Beer Scaling Calc'!B182"/>
    <hyperlink ref="H63" r:id="rId2" display="See www.petespintpot.co.uk/piggybeer.html"/>
    <hyperlink ref="H104" r:id="rId3" display="See www.petespintpot.co.uk/piggybeer.html"/>
    <hyperlink ref="H145" r:id="rId4" display="See www.petespintpot.co.uk/piggybeer.html"/>
    <hyperlink ref="G259" location="'Beer Data Sheet'!N15" display="See &quot;Beer Data Sheet&quot; cells N15 etc. for the Isomerised hop extract settings."/>
    <hyperlink ref="H64" r:id="rId5" display="See www.petespintpot.co.uk/piggybeer.html"/>
    <hyperlink ref="G56" location="'Beer Data Sheet'!N15" display="See &quot;Beer Data Sheet&quot; cells N15 etc. for the Isomerised hop extract settings."/>
    <hyperlink ref="H103" r:id="rId6" display="See www.petespintpot.co.uk/piggybeer.html"/>
    <hyperlink ref="Q36" location="'Beer Data Sheet'!P20" display="=&quot;1 level 5ml tsp sugar = &quot;&amp;'Beer Data Sheet'!P20&amp;&quot;g&quot;"/>
    <hyperlink ref="G98" location="'Beer Scaling Calc'!I8" display="% See cell I8"/>
    <hyperlink ref="D174" location="'Beer Scaling Calc'!L58" display="g/litre"/>
    <hyperlink ref="F174" location="'Beer Scaling Calc'!L58" display="g/litre"/>
    <hyperlink ref="F4" location="'Beer Scaling Calc'!L58" display="g/litre"/>
    <hyperlink ref="D4" location="'Beer Scaling Calc'!L58" display="g/litre"/>
    <hyperlink ref="D205:F205" location="'Beer Scaling'!B216" display="'Beer Scaling'!B216"/>
    <hyperlink ref="I210:N210" location="Beer!BI6" display="Beer!BI6"/>
    <hyperlink ref="G98:I98" location="'Beer Scaling'!L8" display="% See cell L8"/>
    <hyperlink ref="B166" location="'Beer Data Sheet'!AN4" display="Yeast efficiency % (76 nominally)"/>
    <hyperlink ref="B49" location="'Beer Data Sheet'!AN4" display="Yeast efficiency % (76 nominally)"/>
    <hyperlink ref="B47" location="'Beer Scaling'!M28" display="'Beer Scaling'!M28"/>
    <hyperlink ref="B64:F64" location="'Beer Scaling'!E66" display="'Beer Scaling'!E66"/>
    <hyperlink ref="D55" location="'Beer Scaling Calc'!L58" display="g/litre"/>
    <hyperlink ref="F55" location="'Beer Scaling Calc'!L58" display="g/litre"/>
    <hyperlink ref="B208" location="'Beer Data Sheet'!AN4" display="Yeast efficiency % (76 nominally)"/>
    <hyperlink ref="B133" location="'Beer Data Sheet'!AN4" display="Yeast efficiency % (76 nominally)"/>
    <hyperlink ref="B91" location="'Beer Data Sheet'!AN4" display="Yeast efficiency % (76 nominally)"/>
    <hyperlink ref="M28" location="'Beer Data Sheet'!P20" display="=&quot;1 level 5ml tsp sugar = &quot;&amp;'Beer Data Sheet'!P20&amp;&quot;g&quot;"/>
    <hyperlink ref="D12:G12" location="'Beer Scaling'!L8" display="ɸ These values are dependant on the value of cell L8"/>
    <hyperlink ref="O210:T210" location="Beer!BI6" display="Beer!BI6"/>
    <hyperlink ref="U210:Z210" location="Beer!BI6" display="Beer!BI6"/>
    <hyperlink ref="Z262" r:id="rId7" display="www.colchesterhomebrew.co.uk"/>
    <hyperlink ref="Z264" r:id="rId8" display="david.barrow@live.co.uk"/>
    <hyperlink ref="Z265" r:id="rId9"/>
    <hyperlink ref="Z263" r:id="rId10"/>
    <hyperlink ref="P11:T12" location="'Beer Data Sheet'!T16" display=" Note:- 1 ml of Ritchie's hop extract in 1 litre of beer adds 69 EBU's. See &quot;Beer Data Sheet&quot; cell T16."/>
    <hyperlink ref="G49" location="'Beer Scaling'!I12" display="Isomerised hop extract"/>
    <hyperlink ref="G92" location="'Beer Scaling'!I12" display="Isomerised hop extract"/>
    <hyperlink ref="G134" location="'Beer Scaling'!I12" display="Isomerised hop extract"/>
    <hyperlink ref="G169" location="'Beer Scaling'!I12" display="Isomerised hop extract"/>
    <hyperlink ref="G200" location="'Beer Scaling'!I12" display="Isomerised hop extract"/>
    <hyperlink ref="B89" location="'Beer Scaling'!M28" display="'Beer Scaling'!M28"/>
    <hyperlink ref="B131" location="'Beer Scaling'!M28" display="'Beer Scaling'!M28"/>
    <hyperlink ref="B164" location="'Beer Scaling'!M28" display="'Beer Scaling'!M28"/>
    <hyperlink ref="B206" location="'Beer Scaling'!M28" display="'Beer Scaling'!M28"/>
  </hyperlinks>
  <printOptions horizontalCentered="1"/>
  <pageMargins left="0.47244094488188981" right="0.27559055118110237" top="0.35433070866141736" bottom="0.59055118110236227" header="0.31496062992125984" footer="0.47244094488188981"/>
  <pageSetup paperSize="9" scale="37" fitToHeight="3" orientation="landscape" verticalDpi="300" r:id="rId11"/>
  <rowBreaks count="2" manualBreakCount="2">
    <brk id="94" max="51" man="1"/>
    <brk id="171" max="51" man="1"/>
  </rowBreaks>
  <drawing r:id="rId12"/>
</worksheet>
</file>

<file path=xl/worksheets/sheet7.xml><?xml version="1.0" encoding="utf-8"?>
<worksheet xmlns="http://schemas.openxmlformats.org/spreadsheetml/2006/main" xmlns:r="http://schemas.openxmlformats.org/officeDocument/2006/relationships">
  <sheetPr>
    <tabColor rgb="FF00FFFF"/>
    <pageSetUpPr fitToPage="1"/>
  </sheetPr>
  <dimension ref="A1:AS181"/>
  <sheetViews>
    <sheetView topLeftCell="R1" zoomScale="75" zoomScaleNormal="75" zoomScaleSheetLayoutView="69" zoomScalePageLayoutView="53" workbookViewId="0">
      <selection activeCell="AV28" sqref="AV28"/>
    </sheetView>
  </sheetViews>
  <sheetFormatPr defaultColWidth="9" defaultRowHeight="15"/>
  <cols>
    <col min="1" max="1" width="3" style="105" customWidth="1"/>
    <col min="2" max="2" width="32.28515625" style="105" customWidth="1"/>
    <col min="3" max="3" width="11.7109375" style="105" customWidth="1"/>
    <col min="4" max="5" width="9" style="105" customWidth="1"/>
    <col min="6" max="6" width="10" style="105" customWidth="1"/>
    <col min="7" max="7" width="7" style="105" customWidth="1"/>
    <col min="8" max="8" width="3" style="105" customWidth="1"/>
    <col min="9" max="9" width="2.85546875" style="105" customWidth="1"/>
    <col min="10" max="10" width="34.85546875" style="105" customWidth="1"/>
    <col min="11" max="14" width="9" style="105" customWidth="1"/>
    <col min="15" max="15" width="8.85546875" style="105" customWidth="1"/>
    <col min="16" max="16" width="10.5703125" style="105" customWidth="1"/>
    <col min="17" max="19" width="10.85546875" style="105" customWidth="1"/>
    <col min="20" max="20" width="13.42578125" style="105" customWidth="1"/>
    <col min="21" max="21" width="12.7109375" style="105" customWidth="1"/>
    <col min="22" max="22" width="1.28515625" style="105" customWidth="1"/>
    <col min="23" max="23" width="8" style="105" customWidth="1"/>
    <col min="24" max="24" width="4.42578125" style="105" customWidth="1"/>
    <col min="25" max="25" width="22.7109375" style="105" customWidth="1"/>
    <col min="26" max="26" width="12" style="105" customWidth="1"/>
    <col min="27" max="27" width="11.28515625" style="105" customWidth="1"/>
    <col min="28" max="28" width="9" style="105" customWidth="1"/>
    <col min="29" max="29" width="9.42578125" style="105" customWidth="1"/>
    <col min="30" max="30" width="8.140625" style="105" customWidth="1"/>
    <col min="31" max="32" width="7" style="105" hidden="1" customWidth="1"/>
    <col min="33" max="33" width="4.42578125" style="105" customWidth="1"/>
    <col min="34" max="34" width="40.7109375" style="289" customWidth="1"/>
    <col min="35" max="35" width="12.28515625" style="290" customWidth="1"/>
    <col min="36" max="36" width="8" style="290" customWidth="1"/>
    <col min="37" max="37" width="11.42578125" style="289" customWidth="1"/>
    <col min="38" max="38" width="6.28515625" style="290" customWidth="1"/>
    <col min="39" max="39" width="6.28515625" style="291" customWidth="1"/>
    <col min="40" max="40" width="6.28515625" style="292" customWidth="1"/>
    <col min="41" max="41" width="6.7109375" style="293" customWidth="1"/>
    <col min="42" max="45" width="7.28515625" style="104" customWidth="1"/>
    <col min="46" max="16384" width="9" style="105"/>
  </cols>
  <sheetData>
    <row r="1" spans="1:45" ht="27.75" customHeight="1">
      <c r="A1" s="5415" t="s">
        <v>1918</v>
      </c>
      <c r="B1" s="5415"/>
      <c r="C1" s="155"/>
      <c r="D1" s="155"/>
      <c r="E1" s="155"/>
      <c r="F1" s="155"/>
      <c r="G1" s="155"/>
      <c r="H1" s="155"/>
      <c r="I1" s="155"/>
      <c r="J1" s="155"/>
      <c r="K1" s="155"/>
      <c r="L1" s="171"/>
      <c r="M1" s="5416" t="s">
        <v>1900</v>
      </c>
      <c r="N1" s="5416"/>
      <c r="O1" s="5416"/>
      <c r="P1" s="5416"/>
      <c r="Q1" s="155"/>
      <c r="R1" s="155"/>
      <c r="S1" s="155"/>
      <c r="T1" s="155"/>
      <c r="U1" s="155"/>
      <c r="V1" s="155"/>
      <c r="W1" s="155"/>
      <c r="X1" s="155"/>
      <c r="Y1" s="155"/>
      <c r="Z1" s="155"/>
      <c r="AA1" s="155"/>
      <c r="AB1" s="172"/>
      <c r="AC1" s="5417" t="s">
        <v>1917</v>
      </c>
      <c r="AD1" s="5417"/>
      <c r="AE1" s="173"/>
      <c r="AG1" s="155"/>
      <c r="AH1" s="174"/>
      <c r="AI1" s="175"/>
      <c r="AJ1" s="175"/>
      <c r="AK1" s="5437" t="s">
        <v>374</v>
      </c>
      <c r="AL1" s="5437"/>
      <c r="AM1" s="5437"/>
      <c r="AN1" s="176"/>
      <c r="AO1" s="177"/>
      <c r="AP1" s="178"/>
      <c r="AQ1" s="179"/>
      <c r="AR1" s="178"/>
    </row>
    <row r="2" spans="1:45" ht="15.75" customHeight="1">
      <c r="A2" s="180"/>
      <c r="B2" s="180"/>
      <c r="C2" s="155"/>
      <c r="D2" s="155"/>
      <c r="E2" s="155"/>
      <c r="F2" s="155"/>
      <c r="G2" s="155"/>
      <c r="H2" s="155"/>
      <c r="I2" s="155"/>
      <c r="J2" s="181"/>
      <c r="K2" s="181"/>
      <c r="L2" s="181"/>
      <c r="M2" s="181"/>
      <c r="N2" s="181"/>
      <c r="O2" s="181"/>
      <c r="P2" s="155"/>
      <c r="Q2" s="155"/>
      <c r="R2" s="155"/>
      <c r="S2" s="155"/>
      <c r="T2" s="155"/>
      <c r="U2" s="155"/>
      <c r="V2" s="155"/>
      <c r="W2" s="155"/>
      <c r="X2" s="155"/>
      <c r="Z2" s="5438" t="s">
        <v>307</v>
      </c>
      <c r="AA2" s="5438"/>
      <c r="AB2" s="5439" t="s">
        <v>375</v>
      </c>
      <c r="AC2" s="5439"/>
      <c r="AD2" s="5439"/>
      <c r="AG2" s="155"/>
      <c r="AH2" s="182" t="s">
        <v>376</v>
      </c>
      <c r="AI2" s="183" t="s">
        <v>377</v>
      </c>
      <c r="AJ2" s="184" t="s">
        <v>378</v>
      </c>
      <c r="AK2" s="185" t="s">
        <v>379</v>
      </c>
      <c r="AL2" s="5440" t="s">
        <v>380</v>
      </c>
      <c r="AM2" s="5440"/>
      <c r="AN2" s="5440"/>
      <c r="AO2" s="186" t="s">
        <v>258</v>
      </c>
      <c r="AP2" s="5448" t="s">
        <v>381</v>
      </c>
      <c r="AQ2" s="5448"/>
      <c r="AR2" s="5449" t="s">
        <v>381</v>
      </c>
      <c r="AS2" s="5449"/>
    </row>
    <row r="3" spans="1:45" ht="18.75" customHeight="1">
      <c r="A3" s="5450" t="s">
        <v>382</v>
      </c>
      <c r="B3" s="5450"/>
      <c r="C3" s="187"/>
      <c r="D3" s="187"/>
      <c r="E3" s="187"/>
      <c r="F3" s="187"/>
      <c r="G3" s="188"/>
      <c r="H3" s="155"/>
      <c r="I3" s="5451" t="s">
        <v>383</v>
      </c>
      <c r="J3" s="5451"/>
      <c r="K3" s="189"/>
      <c r="L3" s="189"/>
      <c r="M3" s="189"/>
      <c r="N3" s="189"/>
      <c r="O3" s="189"/>
      <c r="P3" s="190"/>
      <c r="Q3" s="190"/>
      <c r="R3" s="190"/>
      <c r="S3" s="187"/>
      <c r="T3" s="191"/>
      <c r="U3" s="191"/>
      <c r="V3" s="192"/>
      <c r="W3" s="155"/>
      <c r="X3" s="193"/>
      <c r="Y3" s="5452" t="s">
        <v>384</v>
      </c>
      <c r="Z3" s="5452"/>
      <c r="AA3" s="194"/>
      <c r="AB3" s="187"/>
      <c r="AC3" s="187"/>
      <c r="AD3" s="188"/>
      <c r="AE3" s="195"/>
      <c r="AF3" s="196">
        <f>89.6/342</f>
        <v>0.26198830409356721</v>
      </c>
      <c r="AG3" s="155"/>
      <c r="AH3" s="197"/>
      <c r="AI3" s="198"/>
      <c r="AJ3" s="199" t="s">
        <v>293</v>
      </c>
      <c r="AK3" s="200"/>
      <c r="AL3" s="5453" t="s">
        <v>101</v>
      </c>
      <c r="AM3" s="5453"/>
      <c r="AN3" s="5453"/>
      <c r="AO3" s="201" t="s">
        <v>385</v>
      </c>
      <c r="AP3" s="5454" t="s">
        <v>386</v>
      </c>
      <c r="AQ3" s="5454"/>
      <c r="AR3" s="5455" t="s">
        <v>387</v>
      </c>
      <c r="AS3" s="5455"/>
    </row>
    <row r="4" spans="1:45" ht="15" customHeight="1">
      <c r="A4" s="5456" t="s">
        <v>388</v>
      </c>
      <c r="B4" s="5456"/>
      <c r="C4" s="5456"/>
      <c r="D4" s="5456"/>
      <c r="E4" s="5456"/>
      <c r="F4" s="5456"/>
      <c r="G4" s="5456"/>
      <c r="H4" s="155"/>
      <c r="I4" s="202"/>
      <c r="J4" s="203"/>
      <c r="K4" s="204"/>
      <c r="L4" s="5423" t="s">
        <v>389</v>
      </c>
      <c r="M4" s="5423"/>
      <c r="N4" s="5423"/>
      <c r="O4" s="5423"/>
      <c r="P4" s="5423"/>
      <c r="Q4" s="3"/>
      <c r="R4" s="3"/>
      <c r="S4" s="104"/>
      <c r="T4" s="104"/>
      <c r="U4" s="104"/>
      <c r="V4" s="205"/>
      <c r="W4" s="155"/>
      <c r="X4" s="206"/>
      <c r="Y4" s="147"/>
      <c r="Z4" s="104"/>
      <c r="AA4" s="104"/>
      <c r="AB4" s="147"/>
      <c r="AC4" s="1"/>
      <c r="AD4" s="207"/>
      <c r="AE4" s="208" t="s">
        <v>198</v>
      </c>
      <c r="AF4" s="209" t="s">
        <v>199</v>
      </c>
      <c r="AG4" s="155"/>
      <c r="AH4" s="210"/>
      <c r="AI4" s="211"/>
      <c r="AJ4" s="210"/>
      <c r="AK4" s="212"/>
      <c r="AL4" s="213" t="s">
        <v>390</v>
      </c>
      <c r="AM4" s="214" t="s">
        <v>391</v>
      </c>
      <c r="AN4" s="215" t="s">
        <v>392</v>
      </c>
      <c r="AO4" s="216" t="s">
        <v>101</v>
      </c>
      <c r="AP4" s="5457" t="s">
        <v>393</v>
      </c>
      <c r="AQ4" s="5457"/>
      <c r="AR4" s="5458" t="s">
        <v>393</v>
      </c>
      <c r="AS4" s="5458"/>
    </row>
    <row r="5" spans="1:45" ht="15" customHeight="1">
      <c r="A5" s="5456"/>
      <c r="B5" s="5456"/>
      <c r="C5" s="5456"/>
      <c r="D5" s="5456"/>
      <c r="E5" s="5456"/>
      <c r="F5" s="5456"/>
      <c r="G5" s="5456"/>
      <c r="H5" s="155"/>
      <c r="I5" s="202"/>
      <c r="J5" s="203"/>
      <c r="K5" s="203"/>
      <c r="L5" s="217"/>
      <c r="M5" s="217"/>
      <c r="N5" s="218"/>
      <c r="O5" s="218"/>
      <c r="P5" s="219"/>
      <c r="Q5" s="219"/>
      <c r="R5" s="219"/>
      <c r="S5" s="104"/>
      <c r="T5" s="104"/>
      <c r="U5" s="104"/>
      <c r="V5" s="205"/>
      <c r="W5" s="155"/>
      <c r="X5" s="206"/>
      <c r="AA5" s="104"/>
      <c r="AB5" s="147"/>
      <c r="AC5" s="1"/>
      <c r="AD5" s="207"/>
      <c r="AE5" s="220" t="s">
        <v>205</v>
      </c>
      <c r="AF5" s="221" t="s">
        <v>206</v>
      </c>
      <c r="AH5" s="222" t="s">
        <v>394</v>
      </c>
      <c r="AI5" s="222" t="s">
        <v>395</v>
      </c>
      <c r="AJ5" s="223" t="s">
        <v>56</v>
      </c>
      <c r="AK5" s="222" t="s">
        <v>396</v>
      </c>
      <c r="AL5" s="224">
        <v>75</v>
      </c>
      <c r="AM5" s="224">
        <v>80</v>
      </c>
      <c r="AN5" s="225">
        <f>(AL5+AM5)/2</f>
        <v>77.5</v>
      </c>
      <c r="AO5" s="226" t="s">
        <v>397</v>
      </c>
      <c r="AP5" s="227">
        <f t="shared" ref="AP5:AQ38" si="0">((AR5+40)*5/9)-40</f>
        <v>18.333333333333336</v>
      </c>
      <c r="AQ5" s="227">
        <f t="shared" si="0"/>
        <v>21.111111111111114</v>
      </c>
      <c r="AR5" s="228">
        <v>65</v>
      </c>
      <c r="AS5" s="228">
        <v>70</v>
      </c>
    </row>
    <row r="6" spans="1:45" ht="15" customHeight="1">
      <c r="A6" s="229"/>
      <c r="B6" s="140" t="s">
        <v>398</v>
      </c>
      <c r="C6" s="230" t="s">
        <v>399</v>
      </c>
      <c r="D6" s="5426" t="s">
        <v>400</v>
      </c>
      <c r="E6" s="5426"/>
      <c r="F6" s="5426"/>
      <c r="G6" s="5426"/>
      <c r="H6" s="155"/>
      <c r="I6" s="5427" t="s">
        <v>401</v>
      </c>
      <c r="J6" s="5427"/>
      <c r="K6" s="142" t="s">
        <v>402</v>
      </c>
      <c r="L6" s="217"/>
      <c r="M6" s="217"/>
      <c r="N6" s="218"/>
      <c r="O6" s="218"/>
      <c r="P6" s="219"/>
      <c r="Q6" s="219"/>
      <c r="R6" s="219"/>
      <c r="S6" s="104"/>
      <c r="T6" s="104"/>
      <c r="U6" s="104"/>
      <c r="V6" s="205"/>
      <c r="W6" s="155"/>
      <c r="X6" s="206"/>
      <c r="Y6" s="140" t="s">
        <v>398</v>
      </c>
      <c r="Z6" s="230" t="s">
        <v>399</v>
      </c>
      <c r="AA6" s="5447" t="s">
        <v>400</v>
      </c>
      <c r="AB6" s="5447"/>
      <c r="AC6" s="5447"/>
      <c r="AD6" s="5447"/>
      <c r="AE6" s="2008">
        <v>0</v>
      </c>
      <c r="AF6" s="2009">
        <v>1.7130000000000001</v>
      </c>
      <c r="AG6" s="155"/>
      <c r="AH6" s="231" t="s">
        <v>403</v>
      </c>
      <c r="AI6" s="231" t="s">
        <v>395</v>
      </c>
      <c r="AJ6" s="232" t="s">
        <v>56</v>
      </c>
      <c r="AK6" s="231" t="s">
        <v>404</v>
      </c>
      <c r="AL6" s="233">
        <v>75</v>
      </c>
      <c r="AM6" s="233">
        <v>80</v>
      </c>
      <c r="AN6" s="234">
        <f>(AL6+AM6)/2</f>
        <v>77.5</v>
      </c>
      <c r="AO6" s="226" t="s">
        <v>405</v>
      </c>
      <c r="AP6" s="235">
        <f t="shared" si="0"/>
        <v>18.888888888888886</v>
      </c>
      <c r="AQ6" s="235">
        <f t="shared" si="0"/>
        <v>22.222222222222221</v>
      </c>
      <c r="AR6" s="236">
        <v>66</v>
      </c>
      <c r="AS6" s="236">
        <v>72</v>
      </c>
    </row>
    <row r="7" spans="1:45">
      <c r="A7" s="229"/>
      <c r="B7" s="237" t="s">
        <v>406</v>
      </c>
      <c r="C7" s="237" t="s">
        <v>406</v>
      </c>
      <c r="D7" s="219"/>
      <c r="E7" s="219"/>
      <c r="F7" s="219"/>
      <c r="G7" s="238"/>
      <c r="H7" s="155"/>
      <c r="I7" s="239"/>
      <c r="J7" s="240" t="s">
        <v>407</v>
      </c>
      <c r="K7" s="240" t="s">
        <v>407</v>
      </c>
      <c r="P7" s="219"/>
      <c r="Q7" s="219"/>
      <c r="R7" s="219"/>
      <c r="S7" s="104"/>
      <c r="T7" s="104"/>
      <c r="U7" s="104"/>
      <c r="V7" s="205"/>
      <c r="W7" s="155"/>
      <c r="X7" s="206"/>
      <c r="Y7" s="237" t="s">
        <v>406</v>
      </c>
      <c r="Z7" s="237" t="s">
        <v>406</v>
      </c>
      <c r="AA7" s="104"/>
      <c r="AB7" s="147"/>
      <c r="AC7" s="1"/>
      <c r="AD7" s="207"/>
      <c r="AE7" s="2002">
        <v>1</v>
      </c>
      <c r="AF7" s="2005">
        <v>1.6459999999999999</v>
      </c>
      <c r="AG7" s="155"/>
      <c r="AH7" s="241" t="s">
        <v>408</v>
      </c>
      <c r="AI7" s="232" t="s">
        <v>409</v>
      </c>
      <c r="AJ7" s="232" t="s">
        <v>56</v>
      </c>
      <c r="AK7" s="231" t="s">
        <v>396</v>
      </c>
      <c r="AL7" s="233">
        <v>74</v>
      </c>
      <c r="AM7" s="233">
        <v>82</v>
      </c>
      <c r="AN7" s="234">
        <f>(AL7+AM7)/2</f>
        <v>78</v>
      </c>
      <c r="AO7" s="226" t="s">
        <v>405</v>
      </c>
      <c r="AP7" s="235">
        <f t="shared" si="0"/>
        <v>18.888888888888886</v>
      </c>
      <c r="AQ7" s="242">
        <f t="shared" si="0"/>
        <v>22.222222222222221</v>
      </c>
      <c r="AR7" s="243">
        <v>66</v>
      </c>
      <c r="AS7" s="236">
        <v>72</v>
      </c>
    </row>
    <row r="8" spans="1:45" ht="15" customHeight="1">
      <c r="A8" s="229"/>
      <c r="B8" s="244" t="s">
        <v>95</v>
      </c>
      <c r="C8" s="244">
        <v>11</v>
      </c>
      <c r="D8" s="219"/>
      <c r="E8" s="219"/>
      <c r="F8" s="219"/>
      <c r="G8" s="238"/>
      <c r="H8" s="155"/>
      <c r="I8" s="206"/>
      <c r="J8" s="244" t="s">
        <v>95</v>
      </c>
      <c r="K8" s="244">
        <v>11</v>
      </c>
      <c r="L8" s="217"/>
      <c r="M8" s="217"/>
      <c r="N8" s="217"/>
      <c r="O8" s="217"/>
      <c r="P8" s="217"/>
      <c r="Q8" s="217"/>
      <c r="R8" s="217"/>
      <c r="S8" s="219"/>
      <c r="T8" s="104"/>
      <c r="U8" s="104"/>
      <c r="V8" s="205"/>
      <c r="W8" s="155"/>
      <c r="X8" s="206"/>
      <c r="Y8" s="244" t="s">
        <v>97</v>
      </c>
      <c r="Z8" s="244">
        <v>9.5</v>
      </c>
      <c r="AA8" s="104"/>
      <c r="AB8" s="147"/>
      <c r="AC8" s="1"/>
      <c r="AD8" s="207"/>
      <c r="AE8" s="2002">
        <v>2</v>
      </c>
      <c r="AF8" s="2006">
        <v>1.5840000000000001</v>
      </c>
      <c r="AG8" s="155"/>
      <c r="AH8" s="231" t="s">
        <v>410</v>
      </c>
      <c r="AI8" s="231" t="s">
        <v>411</v>
      </c>
      <c r="AJ8" s="232" t="s">
        <v>56</v>
      </c>
      <c r="AK8" s="231" t="s">
        <v>396</v>
      </c>
      <c r="AL8" s="245"/>
      <c r="AM8" s="245"/>
      <c r="AN8" s="246" t="s">
        <v>391</v>
      </c>
      <c r="AO8" s="247" t="s">
        <v>412</v>
      </c>
      <c r="AP8" s="235">
        <f t="shared" si="0"/>
        <v>15</v>
      </c>
      <c r="AQ8" s="235">
        <f t="shared" si="0"/>
        <v>20</v>
      </c>
      <c r="AR8" s="236">
        <v>59</v>
      </c>
      <c r="AS8" s="236">
        <v>68</v>
      </c>
    </row>
    <row r="9" spans="1:45">
      <c r="A9" s="229"/>
      <c r="B9" s="244" t="s">
        <v>97</v>
      </c>
      <c r="C9" s="244">
        <v>9.5</v>
      </c>
      <c r="D9" s="219"/>
      <c r="E9" s="219"/>
      <c r="F9" s="219"/>
      <c r="G9" s="238"/>
      <c r="H9" s="155"/>
      <c r="I9" s="206"/>
      <c r="J9" s="244" t="s">
        <v>97</v>
      </c>
      <c r="K9" s="244">
        <v>9.5</v>
      </c>
      <c r="L9" s="217"/>
      <c r="M9" s="217"/>
      <c r="N9" s="217"/>
      <c r="O9" s="217"/>
      <c r="P9" s="217"/>
      <c r="Q9" s="217"/>
      <c r="R9" s="217"/>
      <c r="S9" s="219"/>
      <c r="T9" s="104"/>
      <c r="U9" s="104"/>
      <c r="V9" s="205"/>
      <c r="W9" s="155"/>
      <c r="X9" s="206"/>
      <c r="Y9" s="244" t="s">
        <v>98</v>
      </c>
      <c r="Z9" s="244">
        <v>5.0999999999999996</v>
      </c>
      <c r="AA9" s="104"/>
      <c r="AB9" s="147"/>
      <c r="AC9" s="1"/>
      <c r="AD9" s="207"/>
      <c r="AE9" s="2002">
        <v>3</v>
      </c>
      <c r="AF9" s="2006">
        <v>1.53</v>
      </c>
      <c r="AG9" s="155"/>
      <c r="AH9" s="231" t="s">
        <v>413</v>
      </c>
      <c r="AI9" s="231" t="s">
        <v>395</v>
      </c>
      <c r="AJ9" s="232" t="s">
        <v>56</v>
      </c>
      <c r="AK9" s="231" t="s">
        <v>414</v>
      </c>
      <c r="AL9" s="233">
        <v>70</v>
      </c>
      <c r="AM9" s="233">
        <v>75</v>
      </c>
      <c r="AN9" s="234">
        <f t="shared" ref="AN9:AN15" si="1">(AL9+AM9)/2</f>
        <v>72.5</v>
      </c>
      <c r="AO9" s="226" t="s">
        <v>397</v>
      </c>
      <c r="AP9" s="235">
        <f t="shared" si="0"/>
        <v>18.333333333333336</v>
      </c>
      <c r="AQ9" s="235">
        <f t="shared" si="0"/>
        <v>20.555555555555557</v>
      </c>
      <c r="AR9" s="236">
        <v>65</v>
      </c>
      <c r="AS9" s="236">
        <v>69</v>
      </c>
    </row>
    <row r="10" spans="1:45">
      <c r="A10" s="229"/>
      <c r="B10" s="244" t="s">
        <v>98</v>
      </c>
      <c r="C10" s="244">
        <v>5.0999999999999996</v>
      </c>
      <c r="D10" s="219"/>
      <c r="E10" s="219"/>
      <c r="F10" s="219"/>
      <c r="G10" s="238"/>
      <c r="H10" s="155"/>
      <c r="I10" s="206"/>
      <c r="J10" s="244" t="s">
        <v>98</v>
      </c>
      <c r="K10" s="244">
        <v>5.0999999999999996</v>
      </c>
      <c r="L10" s="217"/>
      <c r="M10" s="217"/>
      <c r="N10" s="217"/>
      <c r="O10" s="217"/>
      <c r="P10" s="217"/>
      <c r="Q10" s="217"/>
      <c r="R10" s="217"/>
      <c r="T10" s="104"/>
      <c r="U10" s="104"/>
      <c r="V10" s="205"/>
      <c r="W10" s="155"/>
      <c r="X10" s="206"/>
      <c r="Y10" s="244" t="s">
        <v>102</v>
      </c>
      <c r="Z10" s="244">
        <v>10</v>
      </c>
      <c r="AA10" s="104"/>
      <c r="AB10" s="147"/>
      <c r="AC10" s="1"/>
      <c r="AD10" s="207"/>
      <c r="AE10" s="2002">
        <v>4</v>
      </c>
      <c r="AF10" s="2006">
        <v>1.4730000000000001</v>
      </c>
      <c r="AG10" s="155"/>
      <c r="AH10" s="248" t="s">
        <v>415</v>
      </c>
      <c r="AI10" s="232" t="s">
        <v>409</v>
      </c>
      <c r="AJ10" s="232" t="s">
        <v>56</v>
      </c>
      <c r="AK10" s="231" t="s">
        <v>404</v>
      </c>
      <c r="AL10" s="249">
        <v>70</v>
      </c>
      <c r="AM10" s="233">
        <v>74</v>
      </c>
      <c r="AN10" s="234">
        <f t="shared" si="1"/>
        <v>72</v>
      </c>
      <c r="AO10" s="226" t="s">
        <v>416</v>
      </c>
      <c r="AP10" s="235">
        <f t="shared" si="0"/>
        <v>18.888888888888886</v>
      </c>
      <c r="AQ10" s="242">
        <f t="shared" si="0"/>
        <v>21.111111111111114</v>
      </c>
      <c r="AR10" s="243">
        <v>66</v>
      </c>
      <c r="AS10" s="236">
        <v>70</v>
      </c>
    </row>
    <row r="11" spans="1:45">
      <c r="A11" s="229"/>
      <c r="B11" s="244" t="s">
        <v>99</v>
      </c>
      <c r="C11" s="244">
        <v>5.5</v>
      </c>
      <c r="D11" s="219"/>
      <c r="E11" s="219"/>
      <c r="F11" s="219"/>
      <c r="G11" s="238"/>
      <c r="H11" s="155"/>
      <c r="I11" s="206"/>
      <c r="J11" s="244" t="s">
        <v>99</v>
      </c>
      <c r="K11" s="244">
        <v>5.5</v>
      </c>
      <c r="L11" s="217"/>
      <c r="M11" s="217"/>
      <c r="N11" s="217"/>
      <c r="O11" s="217"/>
      <c r="P11" s="217"/>
      <c r="Q11" s="217"/>
      <c r="R11" s="217"/>
      <c r="S11" s="219"/>
      <c r="T11" s="104"/>
      <c r="U11" s="104"/>
      <c r="V11" s="205"/>
      <c r="W11" s="155"/>
      <c r="X11" s="206"/>
      <c r="Y11" s="244" t="s">
        <v>104</v>
      </c>
      <c r="Z11" s="244">
        <v>7.5</v>
      </c>
      <c r="AA11" s="104"/>
      <c r="AB11" s="147"/>
      <c r="AC11" s="1"/>
      <c r="AD11" s="207"/>
      <c r="AE11" s="2002">
        <v>5</v>
      </c>
      <c r="AF11" s="2006">
        <v>1.4239999999999999</v>
      </c>
      <c r="AG11" s="155"/>
      <c r="AH11" s="231" t="s">
        <v>417</v>
      </c>
      <c r="AI11" s="231" t="s">
        <v>418</v>
      </c>
      <c r="AJ11" s="232" t="s">
        <v>56</v>
      </c>
      <c r="AK11" s="231" t="s">
        <v>419</v>
      </c>
      <c r="AL11" s="233">
        <v>73</v>
      </c>
      <c r="AM11" s="233">
        <v>77</v>
      </c>
      <c r="AN11" s="234">
        <f t="shared" si="1"/>
        <v>75</v>
      </c>
      <c r="AO11" s="247">
        <v>11</v>
      </c>
      <c r="AP11" s="235">
        <f t="shared" si="0"/>
        <v>15.555555555555557</v>
      </c>
      <c r="AQ11" s="235">
        <f t="shared" si="0"/>
        <v>22.222222222222221</v>
      </c>
      <c r="AR11" s="236">
        <v>60</v>
      </c>
      <c r="AS11" s="236">
        <v>72</v>
      </c>
    </row>
    <row r="12" spans="1:45">
      <c r="A12" s="229"/>
      <c r="B12" s="250" t="s">
        <v>102</v>
      </c>
      <c r="C12" s="250">
        <v>10</v>
      </c>
      <c r="D12" s="219"/>
      <c r="E12" s="219"/>
      <c r="F12" s="219"/>
      <c r="G12" s="238"/>
      <c r="H12" s="155"/>
      <c r="I12" s="206"/>
      <c r="J12" s="250" t="s">
        <v>102</v>
      </c>
      <c r="K12" s="250">
        <v>10</v>
      </c>
      <c r="L12" s="217"/>
      <c r="M12" s="217"/>
      <c r="N12" s="217"/>
      <c r="O12" s="218"/>
      <c r="P12" s="218"/>
      <c r="Q12" s="219"/>
      <c r="R12" s="219"/>
      <c r="S12" s="219"/>
      <c r="T12" s="104"/>
      <c r="U12" s="104"/>
      <c r="V12" s="205"/>
      <c r="W12" s="155"/>
      <c r="X12" s="206"/>
      <c r="Y12" s="244" t="s">
        <v>106</v>
      </c>
      <c r="Z12" s="244">
        <v>5.5</v>
      </c>
      <c r="AC12" s="1"/>
      <c r="AD12" s="207"/>
      <c r="AE12" s="2002">
        <v>6</v>
      </c>
      <c r="AF12" s="2006">
        <v>1.377</v>
      </c>
      <c r="AG12" s="155"/>
      <c r="AH12" s="231" t="s">
        <v>420</v>
      </c>
      <c r="AI12" s="231" t="s">
        <v>411</v>
      </c>
      <c r="AJ12" s="232" t="s">
        <v>56</v>
      </c>
      <c r="AK12" s="231" t="s">
        <v>396</v>
      </c>
      <c r="AL12" s="233"/>
      <c r="AM12" s="233"/>
      <c r="AN12" s="234">
        <f t="shared" si="1"/>
        <v>0</v>
      </c>
      <c r="AO12" s="247" t="s">
        <v>412</v>
      </c>
      <c r="AP12" s="235">
        <f t="shared" si="0"/>
        <v>17.777777777777779</v>
      </c>
      <c r="AQ12" s="235">
        <f t="shared" si="0"/>
        <v>22.222222222222221</v>
      </c>
      <c r="AR12" s="236">
        <v>64</v>
      </c>
      <c r="AS12" s="236">
        <v>72</v>
      </c>
    </row>
    <row r="13" spans="1:45">
      <c r="A13" s="229"/>
      <c r="B13" s="250" t="s">
        <v>104</v>
      </c>
      <c r="C13" s="250">
        <v>7.5</v>
      </c>
      <c r="D13" s="219"/>
      <c r="E13" s="219"/>
      <c r="F13" s="219"/>
      <c r="G13" s="238"/>
      <c r="H13" s="155"/>
      <c r="I13" s="206"/>
      <c r="J13" s="244" t="s">
        <v>104</v>
      </c>
      <c r="K13" s="244">
        <v>7.5</v>
      </c>
      <c r="L13" s="217"/>
      <c r="M13" s="217"/>
      <c r="N13" s="217"/>
      <c r="O13" s="218"/>
      <c r="P13" s="218"/>
      <c r="Q13" s="219"/>
      <c r="R13" s="219"/>
      <c r="S13" s="219"/>
      <c r="T13" s="104"/>
      <c r="U13" s="104"/>
      <c r="V13" s="205"/>
      <c r="W13" s="155"/>
      <c r="X13" s="206"/>
      <c r="Y13" s="244" t="s">
        <v>425</v>
      </c>
      <c r="Z13" s="244">
        <v>7.9</v>
      </c>
      <c r="AA13" s="104"/>
      <c r="AB13" s="147"/>
      <c r="AC13" s="1"/>
      <c r="AD13" s="207"/>
      <c r="AE13" s="2002">
        <v>7</v>
      </c>
      <c r="AF13" s="2006">
        <v>1.331</v>
      </c>
      <c r="AG13" s="155"/>
      <c r="AH13" s="231" t="s">
        <v>421</v>
      </c>
      <c r="AI13" s="231" t="s">
        <v>418</v>
      </c>
      <c r="AJ13" s="232" t="s">
        <v>56</v>
      </c>
      <c r="AK13" s="231" t="s">
        <v>396</v>
      </c>
      <c r="AL13" s="233">
        <v>72</v>
      </c>
      <c r="AM13" s="233">
        <v>76</v>
      </c>
      <c r="AN13" s="234">
        <f t="shared" si="1"/>
        <v>74</v>
      </c>
      <c r="AO13" s="247">
        <v>10</v>
      </c>
      <c r="AP13" s="235">
        <f t="shared" si="0"/>
        <v>15.555555555555557</v>
      </c>
      <c r="AQ13" s="235">
        <f t="shared" si="0"/>
        <v>22.222222222222221</v>
      </c>
      <c r="AR13" s="236">
        <v>60</v>
      </c>
      <c r="AS13" s="236">
        <v>72</v>
      </c>
    </row>
    <row r="14" spans="1:45">
      <c r="A14" s="229"/>
      <c r="B14" s="244" t="s">
        <v>105</v>
      </c>
      <c r="C14" s="244">
        <v>6.9</v>
      </c>
      <c r="D14" s="219"/>
      <c r="E14" s="219"/>
      <c r="F14" s="219"/>
      <c r="G14" s="238"/>
      <c r="H14" s="155"/>
      <c r="I14" s="206"/>
      <c r="J14" s="244" t="s">
        <v>105</v>
      </c>
      <c r="K14" s="244">
        <v>6.9</v>
      </c>
      <c r="L14" s="217"/>
      <c r="M14" s="217"/>
      <c r="N14" s="217"/>
      <c r="O14" s="218"/>
      <c r="P14" s="218"/>
      <c r="Q14" s="219"/>
      <c r="R14" s="219"/>
      <c r="S14" s="219"/>
      <c r="T14" s="104"/>
      <c r="U14" s="104"/>
      <c r="V14" s="205"/>
      <c r="W14" s="155"/>
      <c r="X14" s="206"/>
      <c r="Y14" s="244" t="s">
        <v>108</v>
      </c>
      <c r="Z14" s="244">
        <v>4.5</v>
      </c>
      <c r="AA14" s="104"/>
      <c r="AB14" s="147"/>
      <c r="AC14" s="1"/>
      <c r="AD14" s="207"/>
      <c r="AE14" s="2002">
        <v>8</v>
      </c>
      <c r="AF14" s="2006">
        <v>1.282</v>
      </c>
      <c r="AG14" s="155"/>
      <c r="AH14" s="231" t="s">
        <v>422</v>
      </c>
      <c r="AI14" s="231" t="s">
        <v>395</v>
      </c>
      <c r="AJ14" s="232" t="s">
        <v>56</v>
      </c>
      <c r="AK14" s="231" t="s">
        <v>396</v>
      </c>
      <c r="AL14" s="233">
        <v>72</v>
      </c>
      <c r="AM14" s="233">
        <v>80</v>
      </c>
      <c r="AN14" s="234">
        <f t="shared" si="1"/>
        <v>76</v>
      </c>
      <c r="AO14" s="226" t="s">
        <v>416</v>
      </c>
      <c r="AP14" s="235">
        <f t="shared" si="0"/>
        <v>20</v>
      </c>
      <c r="AQ14" s="235">
        <f t="shared" si="0"/>
        <v>22.222222222222221</v>
      </c>
      <c r="AR14" s="236">
        <v>68</v>
      </c>
      <c r="AS14" s="236">
        <v>72</v>
      </c>
    </row>
    <row r="15" spans="1:45" ht="15" customHeight="1">
      <c r="A15" s="229"/>
      <c r="B15" s="250" t="s">
        <v>106</v>
      </c>
      <c r="C15" s="250">
        <v>5.5</v>
      </c>
      <c r="D15" s="219"/>
      <c r="E15" s="219"/>
      <c r="F15" s="219"/>
      <c r="G15" s="238"/>
      <c r="H15" s="155"/>
      <c r="I15" s="206"/>
      <c r="J15" s="244" t="s">
        <v>106</v>
      </c>
      <c r="K15" s="244">
        <v>5.5</v>
      </c>
      <c r="L15" s="217"/>
      <c r="M15" s="5424" t="s">
        <v>423</v>
      </c>
      <c r="N15" s="5424"/>
      <c r="P15" s="3"/>
      <c r="Q15" s="3"/>
      <c r="R15" s="3"/>
      <c r="S15" s="251"/>
      <c r="T15" s="104"/>
      <c r="U15" s="104"/>
      <c r="V15" s="207"/>
      <c r="W15" s="155"/>
      <c r="X15" s="206"/>
      <c r="Y15" s="244" t="s">
        <v>109</v>
      </c>
      <c r="Z15" s="244">
        <v>5</v>
      </c>
      <c r="AA15" s="104"/>
      <c r="AB15" s="147"/>
      <c r="AC15" s="1"/>
      <c r="AD15" s="207"/>
      <c r="AE15" s="2002">
        <v>9</v>
      </c>
      <c r="AF15" s="2006">
        <v>1.2370000000000001</v>
      </c>
      <c r="AG15" s="155"/>
      <c r="AH15" s="231" t="s">
        <v>424</v>
      </c>
      <c r="AI15" s="231" t="s">
        <v>418</v>
      </c>
      <c r="AJ15" s="232" t="s">
        <v>56</v>
      </c>
      <c r="AK15" s="231" t="s">
        <v>396</v>
      </c>
      <c r="AL15" s="233">
        <v>73</v>
      </c>
      <c r="AM15" s="233">
        <v>77</v>
      </c>
      <c r="AN15" s="234">
        <f t="shared" si="1"/>
        <v>75</v>
      </c>
      <c r="AO15" s="247">
        <v>9</v>
      </c>
      <c r="AP15" s="235">
        <f t="shared" si="0"/>
        <v>8.8888888888888857</v>
      </c>
      <c r="AQ15" s="235">
        <f t="shared" si="0"/>
        <v>14.444444444444443</v>
      </c>
      <c r="AR15" s="236">
        <v>48</v>
      </c>
      <c r="AS15" s="236">
        <v>58</v>
      </c>
    </row>
    <row r="16" spans="1:45">
      <c r="A16" s="229"/>
      <c r="B16" s="244" t="s">
        <v>425</v>
      </c>
      <c r="C16" s="244">
        <v>7.9</v>
      </c>
      <c r="D16" s="219"/>
      <c r="E16" s="219"/>
      <c r="F16" s="219"/>
      <c r="G16" s="238"/>
      <c r="H16" s="155"/>
      <c r="I16" s="206"/>
      <c r="J16" s="244" t="s">
        <v>425</v>
      </c>
      <c r="K16" s="244">
        <v>7.9</v>
      </c>
      <c r="L16" s="217"/>
      <c r="M16" s="5425" t="s">
        <v>426</v>
      </c>
      <c r="N16" s="5425"/>
      <c r="O16" s="410">
        <v>1</v>
      </c>
      <c r="P16" s="5441" t="s">
        <v>228</v>
      </c>
      <c r="Q16" s="5441"/>
      <c r="R16" s="410">
        <v>1</v>
      </c>
      <c r="S16" s="252" t="s">
        <v>427</v>
      </c>
      <c r="T16" s="410">
        <v>69</v>
      </c>
      <c r="U16" s="253" t="s">
        <v>229</v>
      </c>
      <c r="V16" s="207"/>
      <c r="W16" s="155"/>
      <c r="X16" s="206"/>
      <c r="Y16" s="244" t="s">
        <v>111</v>
      </c>
      <c r="Z16" s="244">
        <v>2</v>
      </c>
      <c r="AA16" s="104"/>
      <c r="AB16" s="147"/>
      <c r="AC16" s="1"/>
      <c r="AD16" s="207"/>
      <c r="AE16" s="2002">
        <v>10</v>
      </c>
      <c r="AF16" s="2006">
        <v>1.194</v>
      </c>
      <c r="AG16" s="155"/>
      <c r="AH16" s="231" t="s">
        <v>428</v>
      </c>
      <c r="AI16" s="231" t="s">
        <v>411</v>
      </c>
      <c r="AJ16" s="232" t="s">
        <v>56</v>
      </c>
      <c r="AK16" s="231" t="s">
        <v>429</v>
      </c>
      <c r="AL16" s="245"/>
      <c r="AM16" s="245"/>
      <c r="AN16" s="246" t="s">
        <v>430</v>
      </c>
      <c r="AO16" s="247" t="s">
        <v>412</v>
      </c>
      <c r="AP16" s="235">
        <f t="shared" si="0"/>
        <v>20</v>
      </c>
      <c r="AQ16" s="235">
        <f t="shared" si="0"/>
        <v>22.222222222222221</v>
      </c>
      <c r="AR16" s="236">
        <v>68</v>
      </c>
      <c r="AS16" s="236">
        <v>72</v>
      </c>
    </row>
    <row r="17" spans="1:45" ht="15" customHeight="1">
      <c r="A17" s="229"/>
      <c r="B17" s="244" t="s">
        <v>108</v>
      </c>
      <c r="C17" s="244">
        <v>4.5</v>
      </c>
      <c r="D17" s="219"/>
      <c r="E17" s="219"/>
      <c r="F17" s="219"/>
      <c r="G17" s="238"/>
      <c r="H17" s="155"/>
      <c r="I17" s="206"/>
      <c r="J17" s="244" t="s">
        <v>108</v>
      </c>
      <c r="K17" s="244">
        <v>4.5</v>
      </c>
      <c r="L17" s="217"/>
      <c r="M17" s="5443" t="s">
        <v>431</v>
      </c>
      <c r="N17" s="5443"/>
      <c r="O17" s="5443"/>
      <c r="P17" s="5443"/>
      <c r="Q17" s="5443"/>
      <c r="R17" s="5443"/>
      <c r="S17" s="5443"/>
      <c r="T17" s="5443"/>
      <c r="U17" s="5443"/>
      <c r="V17" s="207"/>
      <c r="W17" s="254"/>
      <c r="X17" s="206"/>
      <c r="Y17" s="244" t="s">
        <v>115</v>
      </c>
      <c r="Z17" s="244">
        <v>6.7</v>
      </c>
      <c r="AA17" s="104"/>
      <c r="AB17" s="147"/>
      <c r="AC17" s="1"/>
      <c r="AD17" s="207"/>
      <c r="AE17" s="2002">
        <v>11</v>
      </c>
      <c r="AF17" s="2006">
        <v>1.1539999999999999</v>
      </c>
      <c r="AG17" s="155"/>
      <c r="AH17" s="231" t="s">
        <v>432</v>
      </c>
      <c r="AI17" s="231" t="s">
        <v>395</v>
      </c>
      <c r="AJ17" s="232" t="s">
        <v>56</v>
      </c>
      <c r="AK17" s="231" t="s">
        <v>396</v>
      </c>
      <c r="AL17" s="233">
        <v>75</v>
      </c>
      <c r="AM17" s="233">
        <v>80</v>
      </c>
      <c r="AN17" s="234">
        <f t="shared" ref="AN17:AN24" si="2">(AL17+AM17)/2</f>
        <v>77.5</v>
      </c>
      <c r="AO17" s="226" t="s">
        <v>397</v>
      </c>
      <c r="AP17" s="235">
        <f t="shared" si="0"/>
        <v>10</v>
      </c>
      <c r="AQ17" s="235">
        <f t="shared" si="0"/>
        <v>12.777777777777779</v>
      </c>
      <c r="AR17" s="236">
        <v>50</v>
      </c>
      <c r="AS17" s="236">
        <v>55</v>
      </c>
    </row>
    <row r="18" spans="1:45">
      <c r="A18" s="229"/>
      <c r="B18" s="244" t="s">
        <v>109</v>
      </c>
      <c r="C18" s="244">
        <v>5</v>
      </c>
      <c r="D18" s="219"/>
      <c r="E18" s="219"/>
      <c r="F18" s="219"/>
      <c r="G18" s="238"/>
      <c r="H18" s="155"/>
      <c r="I18" s="206"/>
      <c r="J18" s="244" t="s">
        <v>109</v>
      </c>
      <c r="K18" s="244">
        <v>5</v>
      </c>
      <c r="L18" s="217"/>
      <c r="M18" s="217"/>
      <c r="N18" s="217"/>
      <c r="O18" s="218"/>
      <c r="P18" s="218"/>
      <c r="Q18" s="219"/>
      <c r="R18" s="219"/>
      <c r="S18" s="219"/>
      <c r="T18" s="104"/>
      <c r="U18" s="104"/>
      <c r="V18" s="205"/>
      <c r="W18" s="155"/>
      <c r="X18" s="206"/>
      <c r="Y18" s="244" t="s">
        <v>117</v>
      </c>
      <c r="Z18" s="244">
        <v>4</v>
      </c>
      <c r="AA18" s="104"/>
      <c r="AB18" s="147"/>
      <c r="AC18" s="1"/>
      <c r="AD18" s="207"/>
      <c r="AE18" s="2002">
        <v>12</v>
      </c>
      <c r="AF18" s="2006">
        <v>1.117</v>
      </c>
      <c r="AG18" s="155"/>
      <c r="AH18" s="241" t="s">
        <v>433</v>
      </c>
      <c r="AI18" s="231" t="s">
        <v>418</v>
      </c>
      <c r="AJ18" s="232" t="s">
        <v>56</v>
      </c>
      <c r="AK18" s="231" t="s">
        <v>414</v>
      </c>
      <c r="AL18" s="233">
        <v>74</v>
      </c>
      <c r="AM18" s="233">
        <v>78</v>
      </c>
      <c r="AN18" s="234">
        <f t="shared" si="2"/>
        <v>76</v>
      </c>
      <c r="AO18" s="247">
        <v>10</v>
      </c>
      <c r="AP18" s="235">
        <f t="shared" si="0"/>
        <v>14.444444444444443</v>
      </c>
      <c r="AQ18" s="235">
        <f t="shared" si="0"/>
        <v>23.333333333333336</v>
      </c>
      <c r="AR18" s="236">
        <v>58</v>
      </c>
      <c r="AS18" s="236">
        <v>74</v>
      </c>
    </row>
    <row r="19" spans="1:45">
      <c r="A19" s="229"/>
      <c r="B19" s="244" t="s">
        <v>111</v>
      </c>
      <c r="C19" s="244">
        <v>2</v>
      </c>
      <c r="D19" s="219"/>
      <c r="E19" s="219"/>
      <c r="F19" s="219"/>
      <c r="G19" s="238"/>
      <c r="H19" s="155"/>
      <c r="I19" s="206"/>
      <c r="J19" s="244" t="s">
        <v>110</v>
      </c>
      <c r="K19" s="244">
        <v>13</v>
      </c>
      <c r="L19" s="217"/>
      <c r="M19" s="217"/>
      <c r="N19" s="217"/>
      <c r="O19" s="218"/>
      <c r="P19" s="218"/>
      <c r="Q19" s="219"/>
      <c r="R19" s="219"/>
      <c r="S19" s="219"/>
      <c r="T19" s="104"/>
      <c r="U19" s="104"/>
      <c r="V19" s="205"/>
      <c r="W19" s="155"/>
      <c r="X19" s="206"/>
      <c r="Y19" s="419" t="s">
        <v>118</v>
      </c>
      <c r="Z19" s="419">
        <v>3</v>
      </c>
      <c r="AA19" s="104"/>
      <c r="AB19" s="147"/>
      <c r="AC19" s="1"/>
      <c r="AD19" s="207"/>
      <c r="AE19" s="2002">
        <v>13</v>
      </c>
      <c r="AF19" s="2006">
        <v>1.083</v>
      </c>
      <c r="AG19" s="155"/>
      <c r="AH19" s="241" t="s">
        <v>434</v>
      </c>
      <c r="AI19" s="231" t="s">
        <v>395</v>
      </c>
      <c r="AJ19" s="232" t="s">
        <v>56</v>
      </c>
      <c r="AK19" s="231" t="s">
        <v>396</v>
      </c>
      <c r="AL19" s="233">
        <v>73</v>
      </c>
      <c r="AM19" s="233">
        <v>80</v>
      </c>
      <c r="AN19" s="234">
        <f t="shared" si="2"/>
        <v>76.5</v>
      </c>
      <c r="AO19" s="226" t="s">
        <v>397</v>
      </c>
      <c r="AP19" s="235">
        <f t="shared" si="0"/>
        <v>19.444444444444443</v>
      </c>
      <c r="AQ19" s="235">
        <f t="shared" si="0"/>
        <v>21.111111111111114</v>
      </c>
      <c r="AR19" s="236">
        <v>67</v>
      </c>
      <c r="AS19" s="236">
        <v>70</v>
      </c>
    </row>
    <row r="20" spans="1:45">
      <c r="A20" s="229"/>
      <c r="B20" s="244" t="s">
        <v>115</v>
      </c>
      <c r="C20" s="244">
        <v>6.7</v>
      </c>
      <c r="D20" s="219"/>
      <c r="E20" s="219"/>
      <c r="F20" s="219"/>
      <c r="G20" s="238"/>
      <c r="H20" s="155"/>
      <c r="I20" s="206"/>
      <c r="J20" s="244" t="s">
        <v>111</v>
      </c>
      <c r="K20" s="244">
        <v>2</v>
      </c>
      <c r="L20" s="217"/>
      <c r="M20" s="5444" t="s">
        <v>435</v>
      </c>
      <c r="N20" s="5444"/>
      <c r="O20" s="255">
        <v>3.15</v>
      </c>
      <c r="P20" s="5423" t="s">
        <v>436</v>
      </c>
      <c r="Q20" s="5423"/>
      <c r="R20" s="219"/>
      <c r="S20" s="219"/>
      <c r="T20" s="104"/>
      <c r="U20" s="104"/>
      <c r="V20" s="205"/>
      <c r="W20" s="155"/>
      <c r="X20" s="206"/>
      <c r="Y20" s="244" t="s">
        <v>119</v>
      </c>
      <c r="Z20" s="244">
        <v>13</v>
      </c>
      <c r="AA20" s="104"/>
      <c r="AB20" s="147"/>
      <c r="AC20" s="1"/>
      <c r="AD20" s="207"/>
      <c r="AE20" s="2002">
        <f>(AE19+AE21)/2</f>
        <v>13.5</v>
      </c>
      <c r="AF20" s="2002">
        <f>(AF19+AF21)/2</f>
        <v>1.0665</v>
      </c>
      <c r="AG20" s="155"/>
      <c r="AH20" s="256" t="s">
        <v>437</v>
      </c>
      <c r="AI20" s="231" t="s">
        <v>395</v>
      </c>
      <c r="AJ20" s="232" t="s">
        <v>56</v>
      </c>
      <c r="AK20" s="231" t="s">
        <v>391</v>
      </c>
      <c r="AL20" s="233">
        <v>70</v>
      </c>
      <c r="AM20" s="233">
        <v>75</v>
      </c>
      <c r="AN20" s="234">
        <f t="shared" si="2"/>
        <v>72.5</v>
      </c>
      <c r="AO20" s="226" t="s">
        <v>438</v>
      </c>
      <c r="AP20" s="235">
        <f t="shared" si="0"/>
        <v>18.333333333333336</v>
      </c>
      <c r="AQ20" s="235">
        <f t="shared" si="0"/>
        <v>21.111111111111114</v>
      </c>
      <c r="AR20" s="236">
        <v>65</v>
      </c>
      <c r="AS20" s="236">
        <v>70</v>
      </c>
    </row>
    <row r="21" spans="1:45">
      <c r="A21" s="229"/>
      <c r="B21" s="244" t="s">
        <v>118</v>
      </c>
      <c r="C21" s="244">
        <v>3</v>
      </c>
      <c r="D21" s="219"/>
      <c r="E21" s="219"/>
      <c r="F21" s="219"/>
      <c r="G21" s="238"/>
      <c r="H21" s="155"/>
      <c r="I21" s="206"/>
      <c r="J21" s="244" t="s">
        <v>115</v>
      </c>
      <c r="K21" s="244">
        <v>6.7</v>
      </c>
      <c r="L21" s="217"/>
      <c r="M21" s="217"/>
      <c r="N21" s="218"/>
      <c r="O21" s="218"/>
      <c r="P21" s="219"/>
      <c r="Q21" s="219"/>
      <c r="R21" s="219"/>
      <c r="S21" s="104"/>
      <c r="T21" s="104"/>
      <c r="U21" s="104"/>
      <c r="V21" s="205"/>
      <c r="W21" s="155"/>
      <c r="X21" s="206"/>
      <c r="Y21" s="244" t="s">
        <v>124</v>
      </c>
      <c r="Z21" s="244">
        <v>8</v>
      </c>
      <c r="AA21" s="104"/>
      <c r="AB21" s="147"/>
      <c r="AC21" s="1"/>
      <c r="AD21" s="207"/>
      <c r="AE21" s="2002">
        <v>14</v>
      </c>
      <c r="AF21" s="2006">
        <v>1.05</v>
      </c>
      <c r="AG21" s="155"/>
      <c r="AH21" s="231" t="s">
        <v>439</v>
      </c>
      <c r="AI21" s="231" t="s">
        <v>395</v>
      </c>
      <c r="AJ21" s="232" t="s">
        <v>56</v>
      </c>
      <c r="AK21" s="231" t="s">
        <v>396</v>
      </c>
      <c r="AL21" s="233">
        <v>74</v>
      </c>
      <c r="AM21" s="233">
        <v>80</v>
      </c>
      <c r="AN21" s="234">
        <f t="shared" si="2"/>
        <v>77</v>
      </c>
      <c r="AO21" s="226" t="s">
        <v>405</v>
      </c>
      <c r="AP21" s="235">
        <f t="shared" si="0"/>
        <v>18.888888888888886</v>
      </c>
      <c r="AQ21" s="235">
        <f t="shared" si="0"/>
        <v>22.222222222222221</v>
      </c>
      <c r="AR21" s="236">
        <v>66</v>
      </c>
      <c r="AS21" s="236">
        <v>72</v>
      </c>
    </row>
    <row r="22" spans="1:45">
      <c r="A22" s="229"/>
      <c r="B22" s="244" t="s">
        <v>119</v>
      </c>
      <c r="C22" s="244">
        <v>13</v>
      </c>
      <c r="D22" s="219"/>
      <c r="E22" s="219"/>
      <c r="F22" s="219"/>
      <c r="G22" s="238"/>
      <c r="H22" s="155"/>
      <c r="I22" s="206"/>
      <c r="J22" s="244" t="s">
        <v>117</v>
      </c>
      <c r="K22" s="244">
        <v>4</v>
      </c>
      <c r="L22" s="217"/>
      <c r="M22" s="217"/>
      <c r="N22" s="218"/>
      <c r="O22" s="218"/>
      <c r="P22" s="219"/>
      <c r="Q22" s="219"/>
      <c r="R22" s="219"/>
      <c r="S22" s="104"/>
      <c r="T22" s="104"/>
      <c r="U22" s="104"/>
      <c r="V22" s="205"/>
      <c r="W22" s="155"/>
      <c r="X22" s="206"/>
      <c r="Y22" s="244" t="s">
        <v>135</v>
      </c>
      <c r="Z22" s="244">
        <v>5</v>
      </c>
      <c r="AA22" s="104"/>
      <c r="AB22" s="147"/>
      <c r="AC22" s="1"/>
      <c r="AD22" s="207"/>
      <c r="AE22" s="2002">
        <f>(AE21+AE23)/2</f>
        <v>14.5</v>
      </c>
      <c r="AF22" s="2002">
        <f>(AF21+AF23)/2</f>
        <v>1.034</v>
      </c>
      <c r="AG22" s="155"/>
      <c r="AH22" s="231" t="s">
        <v>440</v>
      </c>
      <c r="AI22" s="231" t="s">
        <v>418</v>
      </c>
      <c r="AJ22" s="232" t="s">
        <v>56</v>
      </c>
      <c r="AK22" s="231" t="s">
        <v>404</v>
      </c>
      <c r="AL22" s="233">
        <v>73</v>
      </c>
      <c r="AM22" s="233">
        <v>77</v>
      </c>
      <c r="AN22" s="234">
        <f t="shared" si="2"/>
        <v>75</v>
      </c>
      <c r="AO22" s="247">
        <v>9</v>
      </c>
      <c r="AP22" s="235">
        <f t="shared" si="0"/>
        <v>7.7777777777777786</v>
      </c>
      <c r="AQ22" s="235">
        <f t="shared" si="0"/>
        <v>14.444444444444443</v>
      </c>
      <c r="AR22" s="236">
        <v>46</v>
      </c>
      <c r="AS22" s="236">
        <v>58</v>
      </c>
    </row>
    <row r="23" spans="1:45">
      <c r="A23" s="229"/>
      <c r="B23" s="2565" t="s">
        <v>120</v>
      </c>
      <c r="C23" s="244">
        <v>10.5</v>
      </c>
      <c r="D23" s="219"/>
      <c r="E23" s="219"/>
      <c r="F23" s="219"/>
      <c r="G23" s="238"/>
      <c r="H23" s="155"/>
      <c r="I23" s="206"/>
      <c r="J23" s="419" t="s">
        <v>118</v>
      </c>
      <c r="K23" s="419">
        <v>3</v>
      </c>
      <c r="L23" s="217"/>
      <c r="M23" s="217"/>
      <c r="N23" s="218"/>
      <c r="O23" s="218"/>
      <c r="P23" s="219"/>
      <c r="Q23" s="219"/>
      <c r="R23" s="219"/>
      <c r="S23" s="104"/>
      <c r="T23" s="104"/>
      <c r="U23" s="104"/>
      <c r="V23" s="205"/>
      <c r="W23" s="155"/>
      <c r="X23" s="206"/>
      <c r="Y23" s="244" t="s">
        <v>136</v>
      </c>
      <c r="Z23" s="244">
        <v>2.2000000000000002</v>
      </c>
      <c r="AA23" s="104"/>
      <c r="AB23" s="147"/>
      <c r="AC23" s="1"/>
      <c r="AD23" s="207"/>
      <c r="AE23" s="2002">
        <v>15</v>
      </c>
      <c r="AF23" s="2006">
        <v>1.018</v>
      </c>
      <c r="AG23" s="155"/>
      <c r="AH23" s="231" t="s">
        <v>441</v>
      </c>
      <c r="AI23" s="231" t="s">
        <v>395</v>
      </c>
      <c r="AJ23" s="232" t="s">
        <v>56</v>
      </c>
      <c r="AK23" s="231" t="s">
        <v>414</v>
      </c>
      <c r="AL23" s="233">
        <v>73</v>
      </c>
      <c r="AM23" s="233">
        <v>77</v>
      </c>
      <c r="AN23" s="234">
        <f t="shared" si="2"/>
        <v>75</v>
      </c>
      <c r="AO23" s="226" t="s">
        <v>397</v>
      </c>
      <c r="AP23" s="235">
        <f t="shared" si="0"/>
        <v>18.888888888888886</v>
      </c>
      <c r="AQ23" s="235">
        <f t="shared" si="0"/>
        <v>21.111111111111114</v>
      </c>
      <c r="AR23" s="236">
        <v>66</v>
      </c>
      <c r="AS23" s="236">
        <v>70</v>
      </c>
    </row>
    <row r="24" spans="1:45">
      <c r="A24" s="229"/>
      <c r="B24" s="244" t="s">
        <v>122</v>
      </c>
      <c r="C24" s="244">
        <v>5</v>
      </c>
      <c r="D24" s="219"/>
      <c r="E24" s="219"/>
      <c r="F24" s="219"/>
      <c r="G24" s="238"/>
      <c r="H24" s="155"/>
      <c r="I24" s="206"/>
      <c r="J24" s="419" t="s">
        <v>119</v>
      </c>
      <c r="K24" s="419">
        <v>13</v>
      </c>
      <c r="L24" s="257"/>
      <c r="M24" s="217"/>
      <c r="N24" s="218"/>
      <c r="O24" s="218"/>
      <c r="P24" s="219"/>
      <c r="Q24" s="219"/>
      <c r="R24" s="219"/>
      <c r="S24" s="104"/>
      <c r="T24" s="104"/>
      <c r="U24" s="104"/>
      <c r="V24" s="205"/>
      <c r="W24" s="155"/>
      <c r="X24" s="206"/>
      <c r="Y24" s="244" t="s">
        <v>139</v>
      </c>
      <c r="Z24" s="244">
        <v>5.5</v>
      </c>
      <c r="AA24" s="104"/>
      <c r="AB24" s="147"/>
      <c r="AC24" s="1"/>
      <c r="AD24" s="207"/>
      <c r="AE24" s="2002">
        <f>(AE23+AE25)/2</f>
        <v>15.5</v>
      </c>
      <c r="AF24" s="2002">
        <f>(AF23+AF25)/2</f>
        <v>1.0015000000000001</v>
      </c>
      <c r="AG24" s="155"/>
      <c r="AH24" s="231" t="s">
        <v>442</v>
      </c>
      <c r="AI24" s="231" t="s">
        <v>411</v>
      </c>
      <c r="AJ24" s="232" t="s">
        <v>56</v>
      </c>
      <c r="AK24" s="231" t="s">
        <v>391</v>
      </c>
      <c r="AL24" s="245"/>
      <c r="AM24" s="245"/>
      <c r="AN24" s="234">
        <f t="shared" si="2"/>
        <v>0</v>
      </c>
      <c r="AO24" s="247" t="s">
        <v>412</v>
      </c>
      <c r="AP24" s="235">
        <f t="shared" si="0"/>
        <v>10</v>
      </c>
      <c r="AQ24" s="235">
        <f t="shared" si="0"/>
        <v>13.888888888888886</v>
      </c>
      <c r="AR24" s="236">
        <v>50</v>
      </c>
      <c r="AS24" s="236">
        <v>57</v>
      </c>
    </row>
    <row r="25" spans="1:45" ht="15" customHeight="1">
      <c r="A25" s="229"/>
      <c r="B25" s="250" t="s">
        <v>124</v>
      </c>
      <c r="C25" s="250">
        <v>8</v>
      </c>
      <c r="D25" s="219"/>
      <c r="E25" s="219"/>
      <c r="F25" s="219"/>
      <c r="G25" s="238"/>
      <c r="H25" s="155"/>
      <c r="I25" s="206"/>
      <c r="J25" s="2566" t="s">
        <v>120</v>
      </c>
      <c r="K25" s="419">
        <v>10.5</v>
      </c>
      <c r="L25" s="257"/>
      <c r="M25" s="217"/>
      <c r="N25" s="218"/>
      <c r="O25" s="218"/>
      <c r="P25" s="219"/>
      <c r="Q25" s="219"/>
      <c r="R25" s="219"/>
      <c r="S25" s="104"/>
      <c r="T25" s="104"/>
      <c r="U25" s="104"/>
      <c r="V25" s="205"/>
      <c r="W25" s="155"/>
      <c r="X25" s="206"/>
      <c r="Y25" s="244" t="s">
        <v>140</v>
      </c>
      <c r="Z25" s="244">
        <v>11.2</v>
      </c>
      <c r="AA25" s="104"/>
      <c r="AB25" s="147"/>
      <c r="AC25" s="1"/>
      <c r="AD25" s="207"/>
      <c r="AE25" s="2002">
        <v>16</v>
      </c>
      <c r="AF25" s="2006">
        <v>0.98499999999999999</v>
      </c>
      <c r="AG25" s="155"/>
      <c r="AH25" s="231" t="s">
        <v>443</v>
      </c>
      <c r="AI25" s="231" t="s">
        <v>418</v>
      </c>
      <c r="AJ25" s="232" t="s">
        <v>56</v>
      </c>
      <c r="AK25" s="231" t="s">
        <v>414</v>
      </c>
      <c r="AL25" s="233">
        <v>70</v>
      </c>
      <c r="AM25" s="233">
        <v>76</v>
      </c>
      <c r="AN25" s="234">
        <f t="shared" ref="AN25:AN38" si="3">(AL25+AM25)/2</f>
        <v>73</v>
      </c>
      <c r="AO25" s="247">
        <v>10</v>
      </c>
      <c r="AP25" s="235">
        <f t="shared" si="0"/>
        <v>17.777777777777779</v>
      </c>
      <c r="AQ25" s="235">
        <f t="shared" si="0"/>
        <v>23.888888888888886</v>
      </c>
      <c r="AR25" s="236">
        <v>64</v>
      </c>
      <c r="AS25" s="236">
        <v>75</v>
      </c>
    </row>
    <row r="26" spans="1:45" ht="15" customHeight="1">
      <c r="A26" s="229"/>
      <c r="B26" s="244" t="s">
        <v>127</v>
      </c>
      <c r="C26" s="244">
        <v>7.5</v>
      </c>
      <c r="D26" s="219"/>
      <c r="E26" s="219"/>
      <c r="F26" s="219"/>
      <c r="G26" s="238"/>
      <c r="H26" s="155"/>
      <c r="I26" s="206"/>
      <c r="J26" s="419" t="s">
        <v>122</v>
      </c>
      <c r="K26" s="419">
        <v>5</v>
      </c>
      <c r="L26" s="257"/>
      <c r="M26" s="217"/>
      <c r="N26" s="218"/>
      <c r="O26" s="218"/>
      <c r="P26" s="219"/>
      <c r="Q26" s="219"/>
      <c r="R26" s="219"/>
      <c r="S26" s="104"/>
      <c r="T26" s="104"/>
      <c r="U26" s="104"/>
      <c r="V26" s="205"/>
      <c r="W26" s="155"/>
      <c r="X26" s="206"/>
      <c r="Y26" s="244" t="s">
        <v>142</v>
      </c>
      <c r="Z26" s="244">
        <v>6.3</v>
      </c>
      <c r="AA26" s="5445" t="s">
        <v>230</v>
      </c>
      <c r="AB26" s="5445"/>
      <c r="AC26" s="5445"/>
      <c r="AD26" s="5446"/>
      <c r="AE26" s="2002">
        <f>(AE25+AE27)/2</f>
        <v>16.5</v>
      </c>
      <c r="AF26" s="2002">
        <f>(AF25+AF27)/2</f>
        <v>0.97049999999999992</v>
      </c>
      <c r="AG26" s="155"/>
      <c r="AH26" s="231" t="s">
        <v>444</v>
      </c>
      <c r="AI26" s="231" t="s">
        <v>418</v>
      </c>
      <c r="AJ26" s="232" t="s">
        <v>56</v>
      </c>
      <c r="AK26" s="231" t="s">
        <v>396</v>
      </c>
      <c r="AL26" s="233">
        <v>73</v>
      </c>
      <c r="AM26" s="233">
        <v>77</v>
      </c>
      <c r="AN26" s="234">
        <f t="shared" si="3"/>
        <v>75</v>
      </c>
      <c r="AO26" s="247">
        <v>10</v>
      </c>
      <c r="AP26" s="235">
        <f t="shared" si="0"/>
        <v>17.777777777777779</v>
      </c>
      <c r="AQ26" s="235">
        <f t="shared" si="0"/>
        <v>23.333333333333336</v>
      </c>
      <c r="AR26" s="236">
        <v>64</v>
      </c>
      <c r="AS26" s="236">
        <v>74</v>
      </c>
    </row>
    <row r="27" spans="1:45" ht="15" customHeight="1">
      <c r="A27" s="229"/>
      <c r="B27" s="250" t="s">
        <v>130</v>
      </c>
      <c r="C27" s="250">
        <v>8</v>
      </c>
      <c r="D27" s="219"/>
      <c r="E27" s="219"/>
      <c r="F27" s="219"/>
      <c r="G27" s="238"/>
      <c r="H27" s="155"/>
      <c r="I27" s="206"/>
      <c r="J27" s="419" t="s">
        <v>124</v>
      </c>
      <c r="K27" s="419">
        <v>8</v>
      </c>
      <c r="L27" s="257"/>
      <c r="M27" s="217"/>
      <c r="N27" s="217"/>
      <c r="O27" s="217"/>
      <c r="P27" s="217"/>
      <c r="Q27" s="217"/>
      <c r="R27" s="217"/>
      <c r="S27" s="217"/>
      <c r="T27" s="217"/>
      <c r="U27" s="104"/>
      <c r="V27" s="205"/>
      <c r="W27" s="155"/>
      <c r="X27" s="206"/>
      <c r="Y27" s="244" t="s">
        <v>1747</v>
      </c>
      <c r="Z27" s="244">
        <v>0</v>
      </c>
      <c r="AA27" s="5445"/>
      <c r="AB27" s="5445"/>
      <c r="AC27" s="5445"/>
      <c r="AD27" s="5446"/>
      <c r="AE27" s="2002">
        <v>17</v>
      </c>
      <c r="AF27" s="2006">
        <v>0.95599999999999996</v>
      </c>
      <c r="AG27" s="155"/>
      <c r="AH27" s="231" t="s">
        <v>445</v>
      </c>
      <c r="AI27" s="231" t="s">
        <v>395</v>
      </c>
      <c r="AJ27" s="232" t="s">
        <v>56</v>
      </c>
      <c r="AK27" s="231" t="s">
        <v>391</v>
      </c>
      <c r="AL27" s="233">
        <v>72</v>
      </c>
      <c r="AM27" s="233">
        <v>80</v>
      </c>
      <c r="AN27" s="234">
        <f t="shared" si="3"/>
        <v>76</v>
      </c>
      <c r="AO27" s="226" t="s">
        <v>397</v>
      </c>
      <c r="AP27" s="235">
        <f t="shared" si="0"/>
        <v>18.333333333333336</v>
      </c>
      <c r="AQ27" s="235">
        <f t="shared" si="0"/>
        <v>21.111111111111114</v>
      </c>
      <c r="AR27" s="236">
        <v>65</v>
      </c>
      <c r="AS27" s="236">
        <v>70</v>
      </c>
    </row>
    <row r="28" spans="1:45" ht="15" customHeight="1">
      <c r="A28" s="229"/>
      <c r="B28" s="244" t="s">
        <v>133</v>
      </c>
      <c r="C28" s="244">
        <v>8</v>
      </c>
      <c r="D28" s="219"/>
      <c r="E28" s="219"/>
      <c r="F28" s="219"/>
      <c r="G28" s="238"/>
      <c r="H28" s="155"/>
      <c r="I28" s="206"/>
      <c r="J28" s="258" t="s">
        <v>127</v>
      </c>
      <c r="K28" s="419">
        <v>7.5</v>
      </c>
      <c r="L28" s="257"/>
      <c r="M28" s="217"/>
      <c r="N28" s="217"/>
      <c r="O28" s="217"/>
      <c r="P28" s="217"/>
      <c r="Q28" s="217"/>
      <c r="R28" s="217"/>
      <c r="S28" s="217"/>
      <c r="T28" s="217"/>
      <c r="U28" s="104"/>
      <c r="V28" s="205"/>
      <c r="W28" s="155"/>
      <c r="X28" s="206"/>
      <c r="Y28" s="244" t="s">
        <v>1747</v>
      </c>
      <c r="Z28" s="244">
        <v>0</v>
      </c>
      <c r="AA28" s="5445"/>
      <c r="AB28" s="5445"/>
      <c r="AC28" s="5445"/>
      <c r="AD28" s="5446"/>
      <c r="AE28" s="2002">
        <f>(AE27+AE29)/2</f>
        <v>17.5</v>
      </c>
      <c r="AF28" s="2002">
        <f>(AF27+AF29)/2</f>
        <v>0.94199999999999995</v>
      </c>
      <c r="AG28" s="155"/>
      <c r="AH28" s="231" t="s">
        <v>446</v>
      </c>
      <c r="AI28" s="231" t="s">
        <v>418</v>
      </c>
      <c r="AJ28" s="232" t="s">
        <v>56</v>
      </c>
      <c r="AK28" s="231" t="s">
        <v>447</v>
      </c>
      <c r="AL28" s="233">
        <v>74</v>
      </c>
      <c r="AM28" s="233">
        <v>78</v>
      </c>
      <c r="AN28" s="234">
        <f t="shared" si="3"/>
        <v>76</v>
      </c>
      <c r="AO28" s="247">
        <v>12</v>
      </c>
      <c r="AP28" s="235">
        <f t="shared" si="0"/>
        <v>20</v>
      </c>
      <c r="AQ28" s="235">
        <f t="shared" si="0"/>
        <v>25.555555555555557</v>
      </c>
      <c r="AR28" s="236">
        <v>68</v>
      </c>
      <c r="AS28" s="236">
        <v>78</v>
      </c>
    </row>
    <row r="29" spans="1:45" ht="15" customHeight="1">
      <c r="A29" s="2623"/>
      <c r="B29" s="250" t="s">
        <v>136</v>
      </c>
      <c r="C29" s="250">
        <v>2.2000000000000002</v>
      </c>
      <c r="D29" s="219"/>
      <c r="E29" s="219"/>
      <c r="F29" s="219"/>
      <c r="G29" s="2624"/>
      <c r="H29" s="155"/>
      <c r="I29" s="1098"/>
      <c r="J29" s="419" t="s">
        <v>130</v>
      </c>
      <c r="K29" s="419">
        <v>8</v>
      </c>
      <c r="L29" s="257"/>
      <c r="M29" s="217"/>
      <c r="N29" s="217"/>
      <c r="O29" s="217"/>
      <c r="P29" s="217"/>
      <c r="Q29" s="217"/>
      <c r="R29" s="217"/>
      <c r="S29" s="217"/>
      <c r="T29" s="217"/>
      <c r="U29" s="473"/>
      <c r="V29" s="1082"/>
      <c r="W29" s="155"/>
      <c r="X29" s="1098"/>
      <c r="Y29" s="244" t="s">
        <v>1747</v>
      </c>
      <c r="Z29" s="244">
        <v>0</v>
      </c>
      <c r="AA29" s="2612"/>
      <c r="AB29" s="2612"/>
      <c r="AC29" s="2612"/>
      <c r="AD29" s="2613"/>
      <c r="AE29" s="2002">
        <v>18</v>
      </c>
      <c r="AF29" s="2006">
        <v>0.92800000000000005</v>
      </c>
      <c r="AG29" s="155"/>
      <c r="AH29" s="2626"/>
      <c r="AI29" s="2626"/>
      <c r="AJ29" s="2627"/>
      <c r="AK29" s="2626"/>
      <c r="AL29" s="2628"/>
      <c r="AM29" s="2628"/>
      <c r="AN29" s="234">
        <f t="shared" si="3"/>
        <v>0</v>
      </c>
      <c r="AO29" s="2629"/>
      <c r="AP29" s="235">
        <f t="shared" ref="AP29" si="4">((AR29+40)*5/9)-40</f>
        <v>-17.777777777777779</v>
      </c>
      <c r="AQ29" s="235">
        <f t="shared" ref="AQ29" si="5">((AS29+40)*5/9)-40</f>
        <v>-17.777777777777779</v>
      </c>
      <c r="AR29" s="2630"/>
      <c r="AS29" s="2630"/>
    </row>
    <row r="30" spans="1:45">
      <c r="A30" s="259"/>
      <c r="B30" s="244" t="s">
        <v>139</v>
      </c>
      <c r="C30" s="244">
        <v>5.5</v>
      </c>
      <c r="G30" s="207"/>
      <c r="H30" s="155"/>
      <c r="I30" s="206"/>
      <c r="J30" s="2567" t="s">
        <v>131</v>
      </c>
      <c r="K30" s="419">
        <v>10</v>
      </c>
      <c r="L30" s="257"/>
      <c r="M30" s="217"/>
      <c r="N30" s="217"/>
      <c r="O30" s="217"/>
      <c r="P30" s="217"/>
      <c r="Q30" s="217"/>
      <c r="R30" s="217"/>
      <c r="S30" s="217"/>
      <c r="T30" s="217"/>
      <c r="U30" s="104"/>
      <c r="V30" s="205"/>
      <c r="W30" s="155"/>
      <c r="X30" s="206"/>
      <c r="Y30" s="244" t="s">
        <v>1747</v>
      </c>
      <c r="Z30" s="244">
        <v>0</v>
      </c>
      <c r="AA30" s="2190"/>
      <c r="AB30" s="2190"/>
      <c r="AC30" s="1"/>
      <c r="AD30" s="207"/>
      <c r="AE30" s="2002">
        <f>(AE29+AE31)/2</f>
        <v>18.5</v>
      </c>
      <c r="AF30" s="2002">
        <f>(AF29+AF31)/2</f>
        <v>0.91500000000000004</v>
      </c>
      <c r="AG30" s="155"/>
      <c r="AH30" s="231" t="s">
        <v>448</v>
      </c>
      <c r="AI30" s="231" t="s">
        <v>418</v>
      </c>
      <c r="AJ30" s="232" t="s">
        <v>56</v>
      </c>
      <c r="AK30" s="231" t="s">
        <v>396</v>
      </c>
      <c r="AL30" s="233">
        <v>73</v>
      </c>
      <c r="AM30" s="233">
        <v>77</v>
      </c>
      <c r="AN30" s="234">
        <f t="shared" si="3"/>
        <v>75</v>
      </c>
      <c r="AO30" s="247">
        <v>12</v>
      </c>
      <c r="AP30" s="235">
        <f t="shared" si="0"/>
        <v>18.333333333333336</v>
      </c>
      <c r="AQ30" s="235">
        <f t="shared" si="0"/>
        <v>23.888888888888886</v>
      </c>
      <c r="AR30" s="236">
        <v>65</v>
      </c>
      <c r="AS30" s="236">
        <v>75</v>
      </c>
    </row>
    <row r="31" spans="1:45">
      <c r="A31" s="259"/>
      <c r="B31" s="250" t="s">
        <v>140</v>
      </c>
      <c r="C31" s="250">
        <v>11.2</v>
      </c>
      <c r="G31" s="207"/>
      <c r="H31" s="155"/>
      <c r="I31" s="206"/>
      <c r="J31" s="2567" t="s">
        <v>132</v>
      </c>
      <c r="K31" s="419">
        <v>11</v>
      </c>
      <c r="L31" s="257"/>
      <c r="M31" s="217"/>
      <c r="N31" s="217"/>
      <c r="O31" s="217"/>
      <c r="P31" s="217"/>
      <c r="Q31" s="217"/>
      <c r="R31" s="217"/>
      <c r="S31" s="217"/>
      <c r="T31" s="217"/>
      <c r="U31" s="104"/>
      <c r="V31" s="205"/>
      <c r="W31" s="155"/>
      <c r="X31" s="2649"/>
      <c r="Y31" s="419" t="s">
        <v>1747</v>
      </c>
      <c r="Z31" s="419">
        <v>0</v>
      </c>
      <c r="AA31" s="2650"/>
      <c r="AB31" s="2585"/>
      <c r="AC31" s="14"/>
      <c r="AD31" s="1066"/>
      <c r="AE31" s="2002">
        <v>19</v>
      </c>
      <c r="AF31" s="2006">
        <v>0.90200000000000002</v>
      </c>
      <c r="AG31" s="155"/>
      <c r="AH31" s="260" t="s">
        <v>449</v>
      </c>
      <c r="AI31" s="231" t="s">
        <v>395</v>
      </c>
      <c r="AJ31" s="232" t="s">
        <v>56</v>
      </c>
      <c r="AK31" s="231" t="s">
        <v>396</v>
      </c>
      <c r="AL31" s="233">
        <v>74</v>
      </c>
      <c r="AM31" s="233">
        <v>82</v>
      </c>
      <c r="AN31" s="234">
        <f t="shared" si="3"/>
        <v>78</v>
      </c>
      <c r="AO31" s="226" t="s">
        <v>405</v>
      </c>
      <c r="AP31" s="235">
        <f t="shared" si="0"/>
        <v>18.888888888888886</v>
      </c>
      <c r="AQ31" s="235">
        <f t="shared" si="0"/>
        <v>22.222222222222221</v>
      </c>
      <c r="AR31" s="236">
        <v>66</v>
      </c>
      <c r="AS31" s="236">
        <v>72</v>
      </c>
    </row>
    <row r="32" spans="1:45">
      <c r="A32" s="259"/>
      <c r="B32" s="244" t="s">
        <v>141</v>
      </c>
      <c r="C32" s="244">
        <v>5</v>
      </c>
      <c r="G32" s="207"/>
      <c r="H32" s="155"/>
      <c r="I32" s="206"/>
      <c r="J32" s="419" t="s">
        <v>133</v>
      </c>
      <c r="K32" s="419">
        <v>8</v>
      </c>
      <c r="L32" s="257"/>
      <c r="M32" s="217"/>
      <c r="N32" s="218"/>
      <c r="O32" s="218"/>
      <c r="P32" s="219"/>
      <c r="Q32" s="219"/>
      <c r="R32" s="219"/>
      <c r="S32" s="104"/>
      <c r="T32" s="104"/>
      <c r="U32" s="104"/>
      <c r="V32" s="205"/>
      <c r="W32" s="155"/>
      <c r="X32" s="2651"/>
      <c r="Y32" s="2652" t="s">
        <v>1747</v>
      </c>
      <c r="Z32" s="2652">
        <v>0</v>
      </c>
      <c r="AA32" s="2653"/>
      <c r="AB32" s="2653"/>
      <c r="AC32" s="2653"/>
      <c r="AD32" s="2654"/>
      <c r="AE32" s="2002">
        <f>(AE31+AE33)/2</f>
        <v>19.5</v>
      </c>
      <c r="AF32" s="2002">
        <f>(AF31+AF33)/2</f>
        <v>0.88949999999999996</v>
      </c>
      <c r="AG32" s="155"/>
      <c r="AH32" s="231" t="s">
        <v>451</v>
      </c>
      <c r="AI32" s="231" t="s">
        <v>395</v>
      </c>
      <c r="AJ32" s="232" t="s">
        <v>56</v>
      </c>
      <c r="AK32" s="231" t="s">
        <v>396</v>
      </c>
      <c r="AL32" s="233">
        <v>78</v>
      </c>
      <c r="AM32" s="233">
        <v>85</v>
      </c>
      <c r="AN32" s="234">
        <f t="shared" si="3"/>
        <v>81.5</v>
      </c>
      <c r="AO32" s="226" t="s">
        <v>416</v>
      </c>
      <c r="AP32" s="235">
        <f t="shared" si="0"/>
        <v>20</v>
      </c>
      <c r="AQ32" s="235">
        <f t="shared" si="0"/>
        <v>25.555555555555557</v>
      </c>
      <c r="AR32" s="236">
        <v>68</v>
      </c>
      <c r="AS32" s="236">
        <v>78</v>
      </c>
    </row>
    <row r="33" spans="1:45">
      <c r="A33" s="259"/>
      <c r="B33" s="250" t="s">
        <v>142</v>
      </c>
      <c r="C33" s="250">
        <v>6.3</v>
      </c>
      <c r="G33" s="207"/>
      <c r="H33" s="155"/>
      <c r="I33" s="206"/>
      <c r="J33" s="419" t="s">
        <v>134</v>
      </c>
      <c r="K33" s="419">
        <v>10</v>
      </c>
      <c r="L33" s="257"/>
      <c r="M33" s="217"/>
      <c r="N33" s="218"/>
      <c r="O33" s="218"/>
      <c r="P33" s="219"/>
      <c r="Q33" s="219"/>
      <c r="R33" s="219"/>
      <c r="S33" s="104"/>
      <c r="T33" s="104"/>
      <c r="U33" s="104"/>
      <c r="V33" s="205"/>
      <c r="W33" s="155"/>
      <c r="AE33" s="2002">
        <v>20</v>
      </c>
      <c r="AF33" s="2006">
        <v>0.877</v>
      </c>
      <c r="AG33" s="155"/>
      <c r="AH33" s="260" t="s">
        <v>453</v>
      </c>
      <c r="AI33" s="231" t="s">
        <v>418</v>
      </c>
      <c r="AJ33" s="232" t="s">
        <v>56</v>
      </c>
      <c r="AK33" s="231" t="s">
        <v>391</v>
      </c>
      <c r="AL33" s="233">
        <v>72</v>
      </c>
      <c r="AM33" s="233">
        <v>76</v>
      </c>
      <c r="AN33" s="234">
        <f t="shared" si="3"/>
        <v>74</v>
      </c>
      <c r="AO33" s="247">
        <v>12</v>
      </c>
      <c r="AP33" s="235">
        <f t="shared" si="0"/>
        <v>18.333333333333336</v>
      </c>
      <c r="AQ33" s="235">
        <f t="shared" si="0"/>
        <v>24.444444444444443</v>
      </c>
      <c r="AR33" s="236">
        <v>65</v>
      </c>
      <c r="AS33" s="236">
        <v>76</v>
      </c>
    </row>
    <row r="34" spans="1:45">
      <c r="A34" s="259"/>
      <c r="B34" s="244" t="s">
        <v>145</v>
      </c>
      <c r="C34" s="244">
        <v>7.2</v>
      </c>
      <c r="G34" s="207"/>
      <c r="H34" s="155"/>
      <c r="I34" s="206"/>
      <c r="J34" s="419" t="s">
        <v>135</v>
      </c>
      <c r="K34" s="419">
        <v>5</v>
      </c>
      <c r="L34" s="257"/>
      <c r="M34" s="217"/>
      <c r="N34" s="218"/>
      <c r="O34" s="218"/>
      <c r="P34" s="219"/>
      <c r="Q34" s="219"/>
      <c r="R34" s="219"/>
      <c r="S34" s="104"/>
      <c r="T34" s="104"/>
      <c r="U34" s="104"/>
      <c r="V34" s="205"/>
      <c r="W34" s="155"/>
      <c r="AE34" s="2002">
        <f>(AE33+AE35)/2</f>
        <v>20.5</v>
      </c>
      <c r="AF34" s="2002">
        <f>(AF33+AF35)/2</f>
        <v>0.86450000000000005</v>
      </c>
      <c r="AG34" s="155"/>
      <c r="AH34" s="231" t="s">
        <v>454</v>
      </c>
      <c r="AI34" s="231" t="s">
        <v>395</v>
      </c>
      <c r="AJ34" s="232" t="s">
        <v>56</v>
      </c>
      <c r="AK34" s="231" t="s">
        <v>414</v>
      </c>
      <c r="AL34" s="233">
        <v>73</v>
      </c>
      <c r="AM34" s="233">
        <v>78</v>
      </c>
      <c r="AN34" s="234">
        <f t="shared" si="3"/>
        <v>75.5</v>
      </c>
      <c r="AO34" s="226" t="s">
        <v>405</v>
      </c>
      <c r="AP34" s="235">
        <f t="shared" si="0"/>
        <v>20</v>
      </c>
      <c r="AQ34" s="235">
        <f t="shared" si="0"/>
        <v>23.888888888888886</v>
      </c>
      <c r="AR34" s="236">
        <v>68</v>
      </c>
      <c r="AS34" s="236">
        <v>75</v>
      </c>
    </row>
    <row r="35" spans="1:45" ht="16.5">
      <c r="A35" s="259"/>
      <c r="B35" s="244" t="s">
        <v>525</v>
      </c>
      <c r="C35" s="244">
        <v>0</v>
      </c>
      <c r="G35" s="207"/>
      <c r="H35" s="155"/>
      <c r="I35" s="206"/>
      <c r="J35" s="419" t="s">
        <v>136</v>
      </c>
      <c r="K35" s="419">
        <v>2.2000000000000002</v>
      </c>
      <c r="L35" s="257"/>
      <c r="M35" s="217"/>
      <c r="N35" s="218"/>
      <c r="O35" s="218"/>
      <c r="P35" s="219"/>
      <c r="Q35" s="219"/>
      <c r="R35" s="219"/>
      <c r="S35" s="104"/>
      <c r="T35" s="104"/>
      <c r="U35" s="104"/>
      <c r="V35" s="205"/>
      <c r="W35" s="155"/>
      <c r="X35" s="5442" t="s">
        <v>450</v>
      </c>
      <c r="Y35" s="5442"/>
      <c r="Z35" s="5442"/>
      <c r="AA35" s="5442"/>
      <c r="AB35" s="5442"/>
      <c r="AC35" s="5442"/>
      <c r="AD35" s="5442"/>
      <c r="AE35" s="2002">
        <v>21</v>
      </c>
      <c r="AF35" s="2006">
        <v>0.85199999999999998</v>
      </c>
      <c r="AG35" s="155"/>
      <c r="AH35" s="231" t="s">
        <v>455</v>
      </c>
      <c r="AI35" s="231" t="s">
        <v>418</v>
      </c>
      <c r="AJ35" s="232" t="s">
        <v>56</v>
      </c>
      <c r="AK35" s="231" t="s">
        <v>456</v>
      </c>
      <c r="AL35" s="233">
        <v>70</v>
      </c>
      <c r="AM35" s="233">
        <v>80</v>
      </c>
      <c r="AN35" s="234">
        <f t="shared" si="3"/>
        <v>75</v>
      </c>
      <c r="AO35" s="247">
        <v>11</v>
      </c>
      <c r="AP35" s="235">
        <f t="shared" si="0"/>
        <v>17.222222222222221</v>
      </c>
      <c r="AQ35" s="235">
        <f t="shared" si="0"/>
        <v>23.888888888888886</v>
      </c>
      <c r="AR35" s="236">
        <v>63</v>
      </c>
      <c r="AS35" s="236">
        <v>75</v>
      </c>
    </row>
    <row r="36" spans="1:45" ht="14.1" customHeight="1">
      <c r="A36" s="259"/>
      <c r="B36" s="244" t="s">
        <v>525</v>
      </c>
      <c r="C36" s="244">
        <v>0</v>
      </c>
      <c r="G36" s="207"/>
      <c r="H36" s="155"/>
      <c r="I36" s="206"/>
      <c r="J36" s="2567" t="s">
        <v>138</v>
      </c>
      <c r="K36" s="419">
        <v>5.5</v>
      </c>
      <c r="L36" s="257"/>
      <c r="M36" s="217"/>
      <c r="N36" s="218"/>
      <c r="O36" s="218"/>
      <c r="P36" s="219"/>
      <c r="Q36" s="219"/>
      <c r="R36" s="219"/>
      <c r="S36" s="104"/>
      <c r="T36" s="104"/>
      <c r="U36" s="104"/>
      <c r="V36" s="205"/>
      <c r="W36" s="155"/>
      <c r="X36" s="5428" t="s">
        <v>1784</v>
      </c>
      <c r="Y36" s="5429"/>
      <c r="Z36" s="5429"/>
      <c r="AA36" s="5429"/>
      <c r="AB36" s="5429"/>
      <c r="AC36" s="5429"/>
      <c r="AD36" s="5430"/>
      <c r="AE36" s="2002">
        <f>(AE35+AE37)/2</f>
        <v>21.5</v>
      </c>
      <c r="AF36" s="2002">
        <f>(AF35+AF37)/2</f>
        <v>0.83949999999999991</v>
      </c>
      <c r="AG36" s="155"/>
      <c r="AH36" s="231" t="s">
        <v>463</v>
      </c>
      <c r="AI36" s="231" t="s">
        <v>418</v>
      </c>
      <c r="AJ36" s="232" t="s">
        <v>56</v>
      </c>
      <c r="AK36" s="231" t="s">
        <v>414</v>
      </c>
      <c r="AL36" s="233">
        <v>76</v>
      </c>
      <c r="AM36" s="233">
        <v>80</v>
      </c>
      <c r="AN36" s="234">
        <f t="shared" si="3"/>
        <v>78</v>
      </c>
      <c r="AO36" s="247">
        <v>12</v>
      </c>
      <c r="AP36" s="235">
        <f t="shared" si="0"/>
        <v>21.111111111111114</v>
      </c>
      <c r="AQ36" s="235">
        <f t="shared" si="0"/>
        <v>35</v>
      </c>
      <c r="AR36" s="236">
        <v>70</v>
      </c>
      <c r="AS36" s="236">
        <v>95</v>
      </c>
    </row>
    <row r="37" spans="1:45" ht="13.35" customHeight="1">
      <c r="A37" s="259"/>
      <c r="B37" s="244" t="s">
        <v>525</v>
      </c>
      <c r="C37" s="244">
        <v>0</v>
      </c>
      <c r="G37" s="207"/>
      <c r="H37" s="155"/>
      <c r="I37" s="206"/>
      <c r="J37" s="419" t="s">
        <v>139</v>
      </c>
      <c r="K37" s="419">
        <v>5.5</v>
      </c>
      <c r="L37" s="257"/>
      <c r="M37" s="217"/>
      <c r="N37" s="218"/>
      <c r="O37" s="218"/>
      <c r="P37" s="104"/>
      <c r="Q37" s="219"/>
      <c r="R37" s="219"/>
      <c r="S37" s="104"/>
      <c r="T37" s="104"/>
      <c r="U37" s="261"/>
      <c r="V37" s="205"/>
      <c r="W37" s="155"/>
      <c r="X37" s="5431"/>
      <c r="Y37" s="5432"/>
      <c r="Z37" s="5432"/>
      <c r="AA37" s="5432"/>
      <c r="AB37" s="5432"/>
      <c r="AC37" s="5432"/>
      <c r="AD37" s="5433"/>
      <c r="AE37" s="2002">
        <v>22</v>
      </c>
      <c r="AF37" s="2006">
        <v>0.82699999999999996</v>
      </c>
      <c r="AG37" s="155"/>
      <c r="AH37" s="231" t="s">
        <v>465</v>
      </c>
      <c r="AI37" s="231" t="s">
        <v>395</v>
      </c>
      <c r="AJ37" s="232" t="s">
        <v>56</v>
      </c>
      <c r="AK37" s="231" t="s">
        <v>396</v>
      </c>
      <c r="AL37" s="233">
        <v>65</v>
      </c>
      <c r="AM37" s="233">
        <v>75</v>
      </c>
      <c r="AN37" s="234">
        <f t="shared" si="3"/>
        <v>70</v>
      </c>
      <c r="AO37" s="226" t="s">
        <v>397</v>
      </c>
      <c r="AP37" s="235">
        <f t="shared" si="0"/>
        <v>20</v>
      </c>
      <c r="AQ37" s="235">
        <f t="shared" si="0"/>
        <v>23.888888888888886</v>
      </c>
      <c r="AR37" s="236">
        <v>68</v>
      </c>
      <c r="AS37" s="236">
        <v>75</v>
      </c>
    </row>
    <row r="38" spans="1:45" ht="13.35" customHeight="1">
      <c r="A38" s="259"/>
      <c r="B38" s="244" t="s">
        <v>525</v>
      </c>
      <c r="C38" s="244">
        <v>0</v>
      </c>
      <c r="G38" s="207"/>
      <c r="H38" s="155"/>
      <c r="I38" s="206"/>
      <c r="J38" s="419" t="s">
        <v>140</v>
      </c>
      <c r="K38" s="419">
        <v>11.2</v>
      </c>
      <c r="L38" s="257"/>
      <c r="M38" s="217"/>
      <c r="P38" s="219"/>
      <c r="Q38" s="219"/>
      <c r="R38" s="219"/>
      <c r="S38" s="104"/>
      <c r="T38" s="104"/>
      <c r="U38" s="104"/>
      <c r="V38" s="205"/>
      <c r="W38" s="155"/>
      <c r="X38" s="5434"/>
      <c r="Y38" s="5435"/>
      <c r="Z38" s="5435"/>
      <c r="AA38" s="5435"/>
      <c r="AB38" s="5435"/>
      <c r="AC38" s="5435"/>
      <c r="AD38" s="5436"/>
      <c r="AE38" s="2002">
        <f>(AE37+AE39)/2</f>
        <v>22.5</v>
      </c>
      <c r="AF38" s="2002">
        <f>(AF37+AF39)/2</f>
        <v>0.8145</v>
      </c>
      <c r="AG38" s="155"/>
      <c r="AH38" s="231" t="s">
        <v>467</v>
      </c>
      <c r="AI38" s="231" t="s">
        <v>395</v>
      </c>
      <c r="AJ38" s="232" t="s">
        <v>56</v>
      </c>
      <c r="AK38" s="231" t="s">
        <v>396</v>
      </c>
      <c r="AL38" s="233">
        <v>78</v>
      </c>
      <c r="AM38" s="233">
        <v>85</v>
      </c>
      <c r="AN38" s="234">
        <f t="shared" si="3"/>
        <v>81.5</v>
      </c>
      <c r="AO38" s="226" t="s">
        <v>397</v>
      </c>
      <c r="AP38" s="235">
        <f t="shared" si="0"/>
        <v>20</v>
      </c>
      <c r="AQ38" s="235">
        <f t="shared" si="0"/>
        <v>25.555555555555557</v>
      </c>
      <c r="AR38" s="236">
        <v>68</v>
      </c>
      <c r="AS38" s="236">
        <v>78</v>
      </c>
    </row>
    <row r="39" spans="1:45" ht="14.1" customHeight="1">
      <c r="A39" s="259"/>
      <c r="G39" s="207"/>
      <c r="H39" s="155"/>
      <c r="I39" s="229"/>
      <c r="J39" s="419" t="s">
        <v>141</v>
      </c>
      <c r="K39" s="419">
        <v>5</v>
      </c>
      <c r="L39" s="257"/>
      <c r="M39" s="217"/>
      <c r="N39" s="218"/>
      <c r="O39" s="218"/>
      <c r="Q39" s="219"/>
      <c r="R39" s="219"/>
      <c r="S39" s="104"/>
      <c r="T39" s="104"/>
      <c r="U39" s="104"/>
      <c r="V39" s="205"/>
      <c r="W39" s="155"/>
      <c r="X39" s="3207"/>
      <c r="Y39" s="3208" t="s">
        <v>406</v>
      </c>
      <c r="Z39" s="3208" t="s">
        <v>406</v>
      </c>
      <c r="AA39" s="3208" t="s">
        <v>406</v>
      </c>
      <c r="AB39" s="3208" t="s">
        <v>406</v>
      </c>
      <c r="AC39" s="3208" t="s">
        <v>406</v>
      </c>
      <c r="AD39" s="1066"/>
      <c r="AE39" s="2002">
        <v>23</v>
      </c>
      <c r="AF39" s="2006">
        <v>0.80200000000000005</v>
      </c>
      <c r="AG39" s="155"/>
      <c r="AH39" s="231" t="s">
        <v>469</v>
      </c>
      <c r="AI39" s="231" t="s">
        <v>418</v>
      </c>
      <c r="AJ39" s="232" t="s">
        <v>56</v>
      </c>
      <c r="AK39" s="231" t="s">
        <v>414</v>
      </c>
      <c r="AL39" s="233">
        <v>70</v>
      </c>
      <c r="AM39" s="233">
        <v>76</v>
      </c>
      <c r="AN39" s="234">
        <f>(AL39+AM39)/2</f>
        <v>73</v>
      </c>
      <c r="AO39" s="247">
        <v>10</v>
      </c>
      <c r="AP39" s="235">
        <f>((AR39+40)*5/9)-40</f>
        <v>17.777777777777779</v>
      </c>
      <c r="AQ39" s="235">
        <f>((AS39+40)*5/9)-40</f>
        <v>23.888888888888886</v>
      </c>
      <c r="AR39" s="236">
        <v>64</v>
      </c>
      <c r="AS39" s="236">
        <v>75</v>
      </c>
    </row>
    <row r="40" spans="1:45" ht="14.1" customHeight="1">
      <c r="A40" s="259"/>
      <c r="G40" s="207"/>
      <c r="H40" s="155"/>
      <c r="I40" s="229"/>
      <c r="J40" s="419" t="s">
        <v>142</v>
      </c>
      <c r="K40" s="419">
        <v>6.3</v>
      </c>
      <c r="L40" s="257"/>
      <c r="M40" s="217"/>
      <c r="N40" s="218"/>
      <c r="O40" s="218"/>
      <c r="Q40" s="219"/>
      <c r="R40" s="219"/>
      <c r="S40" s="104"/>
      <c r="T40" s="104"/>
      <c r="U40" s="104"/>
      <c r="V40" s="205"/>
      <c r="W40" s="155"/>
      <c r="X40" s="5418"/>
      <c r="Y40" s="5419" t="s">
        <v>457</v>
      </c>
      <c r="Z40" s="5420" t="s">
        <v>458</v>
      </c>
      <c r="AA40" s="5421" t="s">
        <v>459</v>
      </c>
      <c r="AB40" s="5420" t="s">
        <v>460</v>
      </c>
      <c r="AC40" s="5421" t="s">
        <v>461</v>
      </c>
      <c r="AD40" s="5422" t="s">
        <v>462</v>
      </c>
      <c r="AE40" s="2002">
        <f>(AE39+AE41)/2</f>
        <v>23.5</v>
      </c>
      <c r="AF40" s="2002">
        <f>(AF39+AF41)/2</f>
        <v>0.79150000000000009</v>
      </c>
      <c r="AG40" s="155"/>
      <c r="AH40" s="231" t="s">
        <v>471</v>
      </c>
      <c r="AI40" s="231" t="s">
        <v>395</v>
      </c>
      <c r="AJ40" s="232" t="s">
        <v>56</v>
      </c>
      <c r="AK40" s="231" t="s">
        <v>472</v>
      </c>
      <c r="AL40" s="245" t="s">
        <v>472</v>
      </c>
      <c r="AM40" s="245" t="s">
        <v>472</v>
      </c>
      <c r="AN40" s="234" t="e">
        <f t="shared" ref="AN40:AN42" si="6">(AL40+AM40)/2</f>
        <v>#VALUE!</v>
      </c>
      <c r="AO40" s="247" t="s">
        <v>472</v>
      </c>
      <c r="AP40" s="235" t="s">
        <v>472</v>
      </c>
      <c r="AQ40" s="235" t="s">
        <v>472</v>
      </c>
      <c r="AR40" s="236" t="s">
        <v>472</v>
      </c>
      <c r="AS40" s="236" t="s">
        <v>472</v>
      </c>
    </row>
    <row r="41" spans="1:45" ht="14.1" customHeight="1">
      <c r="A41" s="259"/>
      <c r="G41" s="207"/>
      <c r="H41" s="155"/>
      <c r="I41" s="229"/>
      <c r="J41" s="419" t="s">
        <v>145</v>
      </c>
      <c r="K41" s="419">
        <v>7.2</v>
      </c>
      <c r="L41" s="257"/>
      <c r="M41" s="217"/>
      <c r="N41" s="218"/>
      <c r="O41" s="218"/>
      <c r="Q41" s="219"/>
      <c r="R41" s="219"/>
      <c r="S41" s="104"/>
      <c r="T41" s="104"/>
      <c r="U41" s="104"/>
      <c r="V41" s="205"/>
      <c r="W41" s="155"/>
      <c r="X41" s="5418"/>
      <c r="Y41" s="5419"/>
      <c r="Z41" s="5420"/>
      <c r="AA41" s="5421"/>
      <c r="AB41" s="5420"/>
      <c r="AC41" s="5421"/>
      <c r="AD41" s="5422"/>
      <c r="AE41" s="2002">
        <v>24</v>
      </c>
      <c r="AF41" s="2006">
        <v>0.78100000000000003</v>
      </c>
      <c r="AG41" s="155"/>
      <c r="AH41" s="231" t="s">
        <v>474</v>
      </c>
      <c r="AI41" s="231" t="s">
        <v>418</v>
      </c>
      <c r="AJ41" s="232" t="s">
        <v>56</v>
      </c>
      <c r="AK41" s="231" t="s">
        <v>414</v>
      </c>
      <c r="AL41" s="233">
        <v>74</v>
      </c>
      <c r="AM41" s="233">
        <v>78</v>
      </c>
      <c r="AN41" s="234">
        <f t="shared" si="6"/>
        <v>76</v>
      </c>
      <c r="AO41" s="247" t="s">
        <v>475</v>
      </c>
      <c r="AP41" s="235">
        <f t="shared" ref="AP41:AQ72" si="7">((AR41+40)*5/9)-40</f>
        <v>17.777777777777779</v>
      </c>
      <c r="AQ41" s="235">
        <f t="shared" si="7"/>
        <v>26.666666666666671</v>
      </c>
      <c r="AR41" s="236">
        <v>64</v>
      </c>
      <c r="AS41" s="236">
        <v>80</v>
      </c>
    </row>
    <row r="42" spans="1:45" ht="14.1" customHeight="1">
      <c r="A42" s="259"/>
      <c r="G42" s="207"/>
      <c r="H42" s="155"/>
      <c r="I42" s="229"/>
      <c r="J42" s="419" t="s">
        <v>146</v>
      </c>
      <c r="K42" s="419">
        <v>9</v>
      </c>
      <c r="L42" s="257"/>
      <c r="M42" s="217"/>
      <c r="N42" s="218"/>
      <c r="O42" s="218"/>
      <c r="Q42" s="219"/>
      <c r="R42" s="219"/>
      <c r="S42" s="104"/>
      <c r="T42" s="104"/>
      <c r="U42" s="104"/>
      <c r="V42" s="205"/>
      <c r="W42" s="155"/>
      <c r="X42" s="5477" t="s">
        <v>337</v>
      </c>
      <c r="Y42" s="1062" t="s">
        <v>466</v>
      </c>
      <c r="Z42" s="1062">
        <v>300</v>
      </c>
      <c r="AA42" s="1063" t="s">
        <v>412</v>
      </c>
      <c r="AB42" s="1067">
        <v>5</v>
      </c>
      <c r="AC42" s="1062">
        <v>82</v>
      </c>
      <c r="AD42" s="3806">
        <f t="shared" ref="AD42:AD53" si="8">AB42*AC42/100</f>
        <v>4.0999999999999996</v>
      </c>
      <c r="AE42" s="2002">
        <f>(AE41+AE43)/2</f>
        <v>24.5</v>
      </c>
      <c r="AF42" s="2002">
        <f>(AF41+AF43)/2</f>
        <v>0.77</v>
      </c>
      <c r="AG42" s="155"/>
      <c r="AH42" s="231" t="s">
        <v>477</v>
      </c>
      <c r="AI42" s="231" t="s">
        <v>395</v>
      </c>
      <c r="AJ42" s="232" t="s">
        <v>56</v>
      </c>
      <c r="AK42" s="231" t="s">
        <v>396</v>
      </c>
      <c r="AL42" s="233">
        <v>78</v>
      </c>
      <c r="AM42" s="233">
        <v>85</v>
      </c>
      <c r="AN42" s="234">
        <f t="shared" si="6"/>
        <v>81.5</v>
      </c>
      <c r="AO42" s="226" t="s">
        <v>405</v>
      </c>
      <c r="AP42" s="235">
        <f t="shared" si="7"/>
        <v>18.888888888888886</v>
      </c>
      <c r="AQ42" s="235">
        <f t="shared" si="7"/>
        <v>22.222222222222221</v>
      </c>
      <c r="AR42" s="236">
        <v>66</v>
      </c>
      <c r="AS42" s="236">
        <v>72</v>
      </c>
    </row>
    <row r="43" spans="1:45" ht="14.1" customHeight="1">
      <c r="A43" s="259"/>
      <c r="G43" s="207"/>
      <c r="H43" s="155"/>
      <c r="I43" s="229"/>
      <c r="J43" s="244" t="s">
        <v>525</v>
      </c>
      <c r="K43" s="244">
        <v>0</v>
      </c>
      <c r="L43" s="257"/>
      <c r="M43" s="217"/>
      <c r="N43" s="218"/>
      <c r="O43" s="218"/>
      <c r="Q43" s="219"/>
      <c r="R43" s="219"/>
      <c r="S43" s="104"/>
      <c r="T43" s="104"/>
      <c r="U43" s="104"/>
      <c r="V43" s="205"/>
      <c r="W43" s="155"/>
      <c r="X43" s="5477"/>
      <c r="Y43" s="1062" t="s">
        <v>468</v>
      </c>
      <c r="Z43" s="1062">
        <v>300</v>
      </c>
      <c r="AA43" s="1063" t="s">
        <v>412</v>
      </c>
      <c r="AB43" s="1067">
        <v>2.75</v>
      </c>
      <c r="AC43" s="1062">
        <v>80</v>
      </c>
      <c r="AD43" s="3806">
        <f t="shared" si="8"/>
        <v>2.2000000000000002</v>
      </c>
      <c r="AE43" s="2002">
        <v>25</v>
      </c>
      <c r="AF43" s="2006">
        <v>0.75900000000000001</v>
      </c>
      <c r="AG43" s="155"/>
      <c r="AH43" s="231" t="s">
        <v>478</v>
      </c>
      <c r="AI43" s="231" t="s">
        <v>395</v>
      </c>
      <c r="AJ43" s="232" t="s">
        <v>56</v>
      </c>
      <c r="AK43" s="231" t="s">
        <v>396</v>
      </c>
      <c r="AL43" s="233">
        <v>74</v>
      </c>
      <c r="AM43" s="233">
        <v>80</v>
      </c>
      <c r="AN43" s="234">
        <f t="shared" ref="AN43:AN51" si="9">(AL43+AM43)/2</f>
        <v>77</v>
      </c>
      <c r="AO43" s="226" t="s">
        <v>416</v>
      </c>
      <c r="AP43" s="235">
        <f t="shared" si="7"/>
        <v>20</v>
      </c>
      <c r="AQ43" s="235">
        <f t="shared" si="7"/>
        <v>23.888888888888886</v>
      </c>
      <c r="AR43" s="236">
        <v>68</v>
      </c>
      <c r="AS43" s="236">
        <v>75</v>
      </c>
    </row>
    <row r="44" spans="1:45" ht="14.1" customHeight="1">
      <c r="A44" s="259"/>
      <c r="G44" s="207"/>
      <c r="H44" s="155"/>
      <c r="I44" s="229"/>
      <c r="J44" s="244" t="s">
        <v>525</v>
      </c>
      <c r="K44" s="244">
        <v>0</v>
      </c>
      <c r="L44" s="217"/>
      <c r="M44" s="217"/>
      <c r="N44" s="218"/>
      <c r="O44" s="218"/>
      <c r="Q44" s="219"/>
      <c r="R44" s="219"/>
      <c r="S44" s="104"/>
      <c r="T44" s="104"/>
      <c r="U44" s="104"/>
      <c r="V44" s="205"/>
      <c r="W44" s="155"/>
      <c r="X44" s="5477"/>
      <c r="Y44" s="1062" t="s">
        <v>509</v>
      </c>
      <c r="Z44" s="1062">
        <v>295</v>
      </c>
      <c r="AA44" s="1063" t="s">
        <v>412</v>
      </c>
      <c r="AB44" s="1067">
        <v>7</v>
      </c>
      <c r="AC44" s="1062">
        <v>71</v>
      </c>
      <c r="AD44" s="3806">
        <f t="shared" si="8"/>
        <v>4.97</v>
      </c>
      <c r="AE44" s="2002">
        <f>(AE43+AE45)/2</f>
        <v>25.5</v>
      </c>
      <c r="AF44" s="2002">
        <f>(AF43+AF45)/2</f>
        <v>0.74849999999999994</v>
      </c>
      <c r="AG44" s="155"/>
      <c r="AH44" s="231" t="s">
        <v>479</v>
      </c>
      <c r="AI44" s="231" t="s">
        <v>418</v>
      </c>
      <c r="AJ44" s="232" t="s">
        <v>56</v>
      </c>
      <c r="AK44" s="231" t="s">
        <v>396</v>
      </c>
      <c r="AL44" s="233">
        <v>72</v>
      </c>
      <c r="AM44" s="233">
        <v>76</v>
      </c>
      <c r="AN44" s="234">
        <f t="shared" si="9"/>
        <v>74</v>
      </c>
      <c r="AO44" s="247">
        <v>12</v>
      </c>
      <c r="AP44" s="235">
        <f t="shared" si="7"/>
        <v>17.777777777777779</v>
      </c>
      <c r="AQ44" s="235">
        <f t="shared" si="7"/>
        <v>23.333333333333336</v>
      </c>
      <c r="AR44" s="236">
        <v>64</v>
      </c>
      <c r="AS44" s="236">
        <v>74</v>
      </c>
    </row>
    <row r="45" spans="1:45" ht="14.1" customHeight="1">
      <c r="A45" s="259"/>
      <c r="G45" s="207"/>
      <c r="H45" s="155"/>
      <c r="I45" s="229"/>
      <c r="J45" s="244" t="s">
        <v>525</v>
      </c>
      <c r="K45" s="244">
        <v>0</v>
      </c>
      <c r="L45" s="217"/>
      <c r="M45" s="217"/>
      <c r="N45" s="218"/>
      <c r="O45" s="218"/>
      <c r="Q45" s="219"/>
      <c r="R45" s="219"/>
      <c r="S45" s="104"/>
      <c r="T45" s="104"/>
      <c r="U45" s="104"/>
      <c r="V45" s="205"/>
      <c r="W45" s="155"/>
      <c r="X45" s="5477"/>
      <c r="Y45" s="1062" t="s">
        <v>470</v>
      </c>
      <c r="Z45" s="1062">
        <v>250</v>
      </c>
      <c r="AA45" s="1063" t="s">
        <v>412</v>
      </c>
      <c r="AB45" s="1067">
        <v>3</v>
      </c>
      <c r="AC45" s="1062">
        <v>71</v>
      </c>
      <c r="AD45" s="3806">
        <f t="shared" si="8"/>
        <v>2.13</v>
      </c>
      <c r="AE45" s="2002">
        <v>26</v>
      </c>
      <c r="AF45" s="2006">
        <v>0.73799999999999999</v>
      </c>
      <c r="AG45" s="155"/>
      <c r="AH45" s="231" t="s">
        <v>480</v>
      </c>
      <c r="AI45" s="231" t="s">
        <v>395</v>
      </c>
      <c r="AJ45" s="232" t="s">
        <v>56</v>
      </c>
      <c r="AK45" s="231" t="s">
        <v>419</v>
      </c>
      <c r="AL45" s="233">
        <v>74</v>
      </c>
      <c r="AM45" s="233">
        <v>78</v>
      </c>
      <c r="AN45" s="234">
        <f t="shared" si="9"/>
        <v>76</v>
      </c>
      <c r="AO45" s="226" t="s">
        <v>397</v>
      </c>
      <c r="AP45" s="235">
        <f t="shared" si="7"/>
        <v>19.444444444444443</v>
      </c>
      <c r="AQ45" s="235">
        <f t="shared" si="7"/>
        <v>23.333333333333336</v>
      </c>
      <c r="AR45" s="236">
        <v>67</v>
      </c>
      <c r="AS45" s="236">
        <v>74</v>
      </c>
    </row>
    <row r="46" spans="1:45" ht="13.5" customHeight="1">
      <c r="A46" s="259"/>
      <c r="G46" s="207"/>
      <c r="H46" s="155"/>
      <c r="I46" s="229"/>
      <c r="J46" s="244" t="s">
        <v>525</v>
      </c>
      <c r="K46" s="244">
        <v>0</v>
      </c>
      <c r="L46" s="217"/>
      <c r="M46" s="217"/>
      <c r="N46" s="218"/>
      <c r="O46" s="218"/>
      <c r="P46" s="146"/>
      <c r="Q46" s="219"/>
      <c r="R46" s="219"/>
      <c r="S46" s="104"/>
      <c r="T46" s="104"/>
      <c r="U46" s="104"/>
      <c r="V46" s="205"/>
      <c r="W46" s="155"/>
      <c r="X46" s="5477"/>
      <c r="Y46" s="1062" t="s">
        <v>538</v>
      </c>
      <c r="Z46" s="1062">
        <v>305</v>
      </c>
      <c r="AA46" s="1063" t="s">
        <v>412</v>
      </c>
      <c r="AB46" s="1067">
        <v>3</v>
      </c>
      <c r="AC46" s="1062">
        <v>71</v>
      </c>
      <c r="AD46" s="3806">
        <f t="shared" si="8"/>
        <v>2.13</v>
      </c>
      <c r="AE46" s="2002">
        <v>27</v>
      </c>
      <c r="AF46" s="2006">
        <v>0.71799999999999997</v>
      </c>
      <c r="AG46" s="155"/>
      <c r="AH46" s="231" t="s">
        <v>481</v>
      </c>
      <c r="AI46" s="231" t="s">
        <v>395</v>
      </c>
      <c r="AJ46" s="232" t="s">
        <v>56</v>
      </c>
      <c r="AK46" s="231" t="s">
        <v>419</v>
      </c>
      <c r="AL46" s="233">
        <v>70</v>
      </c>
      <c r="AM46" s="233">
        <v>75</v>
      </c>
      <c r="AN46" s="234">
        <f t="shared" si="9"/>
        <v>72.5</v>
      </c>
      <c r="AO46" s="226" t="s">
        <v>397</v>
      </c>
      <c r="AP46" s="235">
        <f t="shared" si="7"/>
        <v>19.444444444444443</v>
      </c>
      <c r="AQ46" s="235">
        <f t="shared" si="7"/>
        <v>23.333333333333336</v>
      </c>
      <c r="AR46" s="236">
        <v>67</v>
      </c>
      <c r="AS46" s="236">
        <v>74</v>
      </c>
    </row>
    <row r="47" spans="1:45" ht="14.1" customHeight="1">
      <c r="A47" s="259"/>
      <c r="G47" s="207"/>
      <c r="H47" s="155"/>
      <c r="I47" s="229"/>
      <c r="J47" s="244" t="s">
        <v>525</v>
      </c>
      <c r="K47" s="244">
        <v>0</v>
      </c>
      <c r="L47" s="217"/>
      <c r="M47" s="217"/>
      <c r="N47" s="218"/>
      <c r="O47" s="218"/>
      <c r="P47" s="146"/>
      <c r="Q47" s="219"/>
      <c r="R47" s="219"/>
      <c r="S47" s="104"/>
      <c r="T47" s="104"/>
      <c r="U47" s="104"/>
      <c r="V47" s="205"/>
      <c r="W47" s="155"/>
      <c r="X47" s="5477"/>
      <c r="Y47" s="1062" t="s">
        <v>527</v>
      </c>
      <c r="Z47" s="1076">
        <v>250</v>
      </c>
      <c r="AA47" s="1063" t="s">
        <v>412</v>
      </c>
      <c r="AB47" s="1067">
        <v>1.5</v>
      </c>
      <c r="AC47" s="1062">
        <v>71</v>
      </c>
      <c r="AD47" s="3806">
        <f t="shared" si="8"/>
        <v>1.0649999999999999</v>
      </c>
      <c r="AE47" s="2002">
        <v>28</v>
      </c>
      <c r="AF47" s="2006">
        <v>0.69899999999999995</v>
      </c>
      <c r="AG47" s="155"/>
      <c r="AH47" s="231" t="s">
        <v>482</v>
      </c>
      <c r="AI47" s="231" t="s">
        <v>418</v>
      </c>
      <c r="AJ47" s="232" t="s">
        <v>56</v>
      </c>
      <c r="AK47" s="231" t="s">
        <v>396</v>
      </c>
      <c r="AL47" s="233">
        <v>72</v>
      </c>
      <c r="AM47" s="233">
        <v>76</v>
      </c>
      <c r="AN47" s="234">
        <f t="shared" si="9"/>
        <v>74</v>
      </c>
      <c r="AO47" s="247" t="s">
        <v>483</v>
      </c>
      <c r="AP47" s="235">
        <f t="shared" si="7"/>
        <v>16.666666666666664</v>
      </c>
      <c r="AQ47" s="235">
        <f t="shared" si="7"/>
        <v>23.888888888888886</v>
      </c>
      <c r="AR47" s="236">
        <v>62</v>
      </c>
      <c r="AS47" s="236">
        <v>75</v>
      </c>
    </row>
    <row r="48" spans="1:45" ht="14.1" customHeight="1">
      <c r="A48" s="259"/>
      <c r="G48" s="207"/>
      <c r="H48" s="155"/>
      <c r="I48" s="229"/>
      <c r="J48" s="244" t="s">
        <v>525</v>
      </c>
      <c r="K48" s="244">
        <v>0</v>
      </c>
      <c r="L48" s="217"/>
      <c r="M48" s="217"/>
      <c r="N48" s="218"/>
      <c r="O48" s="218"/>
      <c r="P48" s="146"/>
      <c r="Q48" s="146"/>
      <c r="R48" s="146"/>
      <c r="S48" s="146"/>
      <c r="T48" s="146"/>
      <c r="U48" s="104"/>
      <c r="V48" s="205"/>
      <c r="W48" s="155"/>
      <c r="X48" s="5472" t="s">
        <v>338</v>
      </c>
      <c r="Y48" s="1062" t="s">
        <v>473</v>
      </c>
      <c r="Z48" s="1076">
        <v>310</v>
      </c>
      <c r="AA48" s="1063" t="s">
        <v>412</v>
      </c>
      <c r="AB48" s="1062">
        <v>10</v>
      </c>
      <c r="AC48" s="1062">
        <v>100</v>
      </c>
      <c r="AD48" s="3806">
        <f t="shared" si="8"/>
        <v>10</v>
      </c>
      <c r="AE48" s="2182">
        <v>29</v>
      </c>
      <c r="AF48" s="2005">
        <v>0.68200000000000005</v>
      </c>
      <c r="AG48" s="155"/>
      <c r="AH48" s="231" t="s">
        <v>484</v>
      </c>
      <c r="AI48" s="231" t="s">
        <v>395</v>
      </c>
      <c r="AJ48" s="232" t="s">
        <v>56</v>
      </c>
      <c r="AK48" s="231" t="s">
        <v>396</v>
      </c>
      <c r="AL48" s="249">
        <v>73</v>
      </c>
      <c r="AM48" s="233">
        <v>80</v>
      </c>
      <c r="AN48" s="234">
        <f t="shared" si="9"/>
        <v>76.5</v>
      </c>
      <c r="AO48" s="266" t="s">
        <v>397</v>
      </c>
      <c r="AP48" s="235">
        <f t="shared" si="7"/>
        <v>20</v>
      </c>
      <c r="AQ48" s="242">
        <f t="shared" si="7"/>
        <v>22.222222222222221</v>
      </c>
      <c r="AR48" s="243">
        <v>68</v>
      </c>
      <c r="AS48" s="236">
        <v>72</v>
      </c>
    </row>
    <row r="49" spans="1:45" ht="13.5" customHeight="1">
      <c r="A49" s="259"/>
      <c r="G49" s="207"/>
      <c r="H49" s="155"/>
      <c r="I49" s="229"/>
      <c r="L49" s="217"/>
      <c r="M49" s="217"/>
      <c r="N49" s="218"/>
      <c r="O49" s="218"/>
      <c r="P49" s="4708" t="s">
        <v>237</v>
      </c>
      <c r="Q49" s="4708"/>
      <c r="R49" s="4708"/>
      <c r="S49" s="4708"/>
      <c r="T49" s="4708"/>
      <c r="U49" s="104"/>
      <c r="V49" s="205"/>
      <c r="W49" s="155"/>
      <c r="X49" s="5472"/>
      <c r="Y49" s="1062" t="s">
        <v>476</v>
      </c>
      <c r="Z49" s="1076">
        <v>365</v>
      </c>
      <c r="AA49" s="1063" t="s">
        <v>412</v>
      </c>
      <c r="AB49" s="1062">
        <v>11</v>
      </c>
      <c r="AC49" s="1062">
        <v>100</v>
      </c>
      <c r="AD49" s="3806">
        <f t="shared" si="8"/>
        <v>11</v>
      </c>
      <c r="AE49" s="2183">
        <v>30</v>
      </c>
      <c r="AF49" s="2007">
        <v>0.66500000000000004</v>
      </c>
      <c r="AG49" s="155"/>
      <c r="AH49" s="231" t="s">
        <v>485</v>
      </c>
      <c r="AI49" s="231" t="s">
        <v>418</v>
      </c>
      <c r="AJ49" s="232" t="s">
        <v>56</v>
      </c>
      <c r="AK49" s="231" t="s">
        <v>414</v>
      </c>
      <c r="AL49" s="233">
        <v>74</v>
      </c>
      <c r="AM49" s="233">
        <v>79</v>
      </c>
      <c r="AN49" s="234">
        <f t="shared" si="9"/>
        <v>76.5</v>
      </c>
      <c r="AO49" s="247">
        <v>12</v>
      </c>
      <c r="AP49" s="235">
        <f t="shared" si="7"/>
        <v>21.111111111111114</v>
      </c>
      <c r="AQ49" s="235">
        <f t="shared" si="7"/>
        <v>26.111111111111114</v>
      </c>
      <c r="AR49" s="236">
        <v>70</v>
      </c>
      <c r="AS49" s="236">
        <v>79</v>
      </c>
    </row>
    <row r="50" spans="1:45" ht="13.5" customHeight="1">
      <c r="A50" s="259"/>
      <c r="G50" s="207"/>
      <c r="H50" s="155"/>
      <c r="I50" s="229"/>
      <c r="L50" s="217"/>
      <c r="M50" s="217"/>
      <c r="N50" s="218"/>
      <c r="O50" s="218"/>
      <c r="P50" s="218"/>
      <c r="Q50" s="144" t="s">
        <v>50</v>
      </c>
      <c r="R50" s="144" t="s">
        <v>43</v>
      </c>
      <c r="S50" s="144" t="s">
        <v>239</v>
      </c>
      <c r="T50" s="104"/>
      <c r="U50" s="104"/>
      <c r="V50" s="205"/>
      <c r="W50" s="155"/>
      <c r="X50" s="5472"/>
      <c r="Y50" s="1062" t="s">
        <v>555</v>
      </c>
      <c r="Z50" s="1076">
        <v>366</v>
      </c>
      <c r="AA50" s="1063" t="s">
        <v>412</v>
      </c>
      <c r="AB50" s="1062">
        <v>11</v>
      </c>
      <c r="AC50" s="1062">
        <v>100</v>
      </c>
      <c r="AD50" s="3806">
        <f t="shared" si="8"/>
        <v>11</v>
      </c>
      <c r="AE50" s="107"/>
      <c r="AF50" s="107"/>
      <c r="AG50" s="155"/>
      <c r="AH50" s="231" t="s">
        <v>486</v>
      </c>
      <c r="AI50" s="231" t="s">
        <v>418</v>
      </c>
      <c r="AJ50" s="232" t="s">
        <v>56</v>
      </c>
      <c r="AK50" s="231" t="s">
        <v>447</v>
      </c>
      <c r="AL50" s="233">
        <v>73</v>
      </c>
      <c r="AM50" s="233">
        <v>77</v>
      </c>
      <c r="AN50" s="234">
        <f t="shared" si="9"/>
        <v>75</v>
      </c>
      <c r="AO50" s="247">
        <v>9</v>
      </c>
      <c r="AP50" s="235">
        <f t="shared" si="7"/>
        <v>7.2222222222222214</v>
      </c>
      <c r="AQ50" s="235">
        <f t="shared" si="7"/>
        <v>20</v>
      </c>
      <c r="AR50" s="236">
        <v>45</v>
      </c>
      <c r="AS50" s="236">
        <v>68</v>
      </c>
    </row>
    <row r="51" spans="1:45" ht="13.5" customHeight="1">
      <c r="A51" s="5427" t="s">
        <v>487</v>
      </c>
      <c r="B51" s="5427"/>
      <c r="C51" s="5427"/>
      <c r="D51" s="5427"/>
      <c r="E51" s="219"/>
      <c r="F51" s="219"/>
      <c r="G51" s="238"/>
      <c r="H51" s="155"/>
      <c r="I51" s="5427" t="s">
        <v>488</v>
      </c>
      <c r="J51" s="5427"/>
      <c r="K51" s="5427"/>
      <c r="L51" s="5427"/>
      <c r="M51" s="217"/>
      <c r="N51" s="218"/>
      <c r="O51" s="218"/>
      <c r="P51" s="218"/>
      <c r="Q51" s="267">
        <f>(R51/0.3750625)-1.4</f>
        <v>51.924445925679052</v>
      </c>
      <c r="R51" s="268" t="s">
        <v>489</v>
      </c>
      <c r="S51" s="267">
        <f>((R51+0.1)*0.3750625)+0.5</f>
        <v>8.0387562500000023</v>
      </c>
      <c r="T51" s="147"/>
      <c r="U51" s="147"/>
      <c r="V51" s="269"/>
      <c r="W51" s="155"/>
      <c r="X51" s="5476" t="s">
        <v>128</v>
      </c>
      <c r="Y51" s="419" t="s">
        <v>260</v>
      </c>
      <c r="Z51" s="419">
        <v>265</v>
      </c>
      <c r="AA51" s="1063" t="s">
        <v>412</v>
      </c>
      <c r="AB51" s="419">
        <v>1280</v>
      </c>
      <c r="AC51" s="419">
        <v>71</v>
      </c>
      <c r="AD51" s="3806">
        <f t="shared" si="8"/>
        <v>908.8</v>
      </c>
      <c r="AE51" s="107"/>
      <c r="AF51" s="107"/>
      <c r="AG51" s="155"/>
      <c r="AH51" s="231" t="s">
        <v>491</v>
      </c>
      <c r="AI51" s="231" t="s">
        <v>395</v>
      </c>
      <c r="AJ51" s="232" t="s">
        <v>56</v>
      </c>
      <c r="AK51" s="231" t="s">
        <v>472</v>
      </c>
      <c r="AL51" s="245">
        <v>70</v>
      </c>
      <c r="AM51" s="245">
        <v>85</v>
      </c>
      <c r="AN51" s="234">
        <f t="shared" si="9"/>
        <v>77.5</v>
      </c>
      <c r="AO51" s="247" t="s">
        <v>416</v>
      </c>
      <c r="AP51" s="235">
        <f t="shared" si="7"/>
        <v>29.444444444444443</v>
      </c>
      <c r="AQ51" s="235">
        <f t="shared" si="7"/>
        <v>32.222222222222229</v>
      </c>
      <c r="AR51" s="236">
        <v>85</v>
      </c>
      <c r="AS51" s="236">
        <v>90</v>
      </c>
    </row>
    <row r="52" spans="1:45" ht="13.5" customHeight="1">
      <c r="A52" s="5462" t="s">
        <v>452</v>
      </c>
      <c r="B52" s="5462"/>
      <c r="C52" s="5462"/>
      <c r="D52" s="5462"/>
      <c r="E52" s="5462"/>
      <c r="F52" s="5462"/>
      <c r="G52" s="5462"/>
      <c r="H52" s="155"/>
      <c r="I52" s="5463" t="s">
        <v>814</v>
      </c>
      <c r="J52" s="5464"/>
      <c r="K52" s="5464"/>
      <c r="L52" s="5464"/>
      <c r="M52" s="5464"/>
      <c r="N52" s="5464"/>
      <c r="O52" s="5464"/>
      <c r="P52" s="5464"/>
      <c r="Q52" s="5464"/>
      <c r="R52" s="5464"/>
      <c r="S52" s="5464"/>
      <c r="T52" s="270"/>
      <c r="U52" s="270"/>
      <c r="V52" s="271"/>
      <c r="W52" s="155"/>
      <c r="X52" s="5476"/>
      <c r="Y52" s="1062" t="s">
        <v>265</v>
      </c>
      <c r="Z52" s="1062">
        <v>265</v>
      </c>
      <c r="AA52" s="1063" t="s">
        <v>412</v>
      </c>
      <c r="AB52" s="1062">
        <v>1060</v>
      </c>
      <c r="AC52" s="1062">
        <v>72</v>
      </c>
      <c r="AD52" s="3806">
        <f t="shared" si="8"/>
        <v>763.2</v>
      </c>
      <c r="AE52" s="107"/>
      <c r="AF52" s="107"/>
      <c r="AG52" s="155"/>
      <c r="AH52" s="231" t="s">
        <v>492</v>
      </c>
      <c r="AI52" s="231" t="s">
        <v>395</v>
      </c>
      <c r="AJ52" s="232" t="s">
        <v>56</v>
      </c>
      <c r="AK52" s="231" t="s">
        <v>472</v>
      </c>
      <c r="AL52" s="245">
        <v>70</v>
      </c>
      <c r="AM52" s="245">
        <v>85</v>
      </c>
      <c r="AN52" s="246" t="s">
        <v>472</v>
      </c>
      <c r="AO52" s="247" t="s">
        <v>416</v>
      </c>
      <c r="AP52" s="235">
        <f t="shared" si="7"/>
        <v>29.444444444444443</v>
      </c>
      <c r="AQ52" s="235">
        <f t="shared" si="7"/>
        <v>29.444444444444443</v>
      </c>
      <c r="AR52" s="236">
        <v>85</v>
      </c>
      <c r="AS52" s="236">
        <v>85</v>
      </c>
    </row>
    <row r="53" spans="1:45" ht="14.25" customHeight="1">
      <c r="A53" s="5462"/>
      <c r="B53" s="5462"/>
      <c r="C53" s="5462"/>
      <c r="D53" s="5462"/>
      <c r="E53" s="5462"/>
      <c r="F53" s="5462"/>
      <c r="G53" s="5462"/>
      <c r="H53" s="155"/>
      <c r="I53" s="5465" t="s">
        <v>243</v>
      </c>
      <c r="J53" s="5465"/>
      <c r="K53" s="5465"/>
      <c r="L53" s="5465"/>
      <c r="M53" s="5465"/>
      <c r="N53" s="5465"/>
      <c r="O53" s="142"/>
      <c r="P53" s="142"/>
      <c r="Q53" s="142"/>
      <c r="R53" s="142"/>
      <c r="S53" s="142"/>
      <c r="T53" s="142"/>
      <c r="U53" s="142"/>
      <c r="V53" s="273"/>
      <c r="W53" s="1058"/>
      <c r="X53" s="5476"/>
      <c r="Y53" s="1062" t="s">
        <v>269</v>
      </c>
      <c r="Z53" s="1062">
        <v>265</v>
      </c>
      <c r="AA53" s="1063" t="s">
        <v>412</v>
      </c>
      <c r="AB53" s="1062">
        <v>105</v>
      </c>
      <c r="AC53" s="1062">
        <v>74</v>
      </c>
      <c r="AD53" s="3806">
        <f t="shared" si="8"/>
        <v>77.7</v>
      </c>
      <c r="AE53" s="107"/>
      <c r="AF53" s="107"/>
      <c r="AG53" s="155"/>
      <c r="AH53" s="231" t="s">
        <v>492</v>
      </c>
      <c r="AI53" s="231" t="s">
        <v>395</v>
      </c>
      <c r="AJ53" s="232" t="s">
        <v>56</v>
      </c>
      <c r="AK53" s="231" t="s">
        <v>472</v>
      </c>
      <c r="AL53" s="245">
        <v>70</v>
      </c>
      <c r="AM53" s="245">
        <v>85</v>
      </c>
      <c r="AN53" s="234">
        <f>(AL53+AM53)/2</f>
        <v>77.5</v>
      </c>
      <c r="AO53" s="247" t="s">
        <v>472</v>
      </c>
      <c r="AP53" s="235">
        <f t="shared" si="7"/>
        <v>29.444444444444443</v>
      </c>
      <c r="AQ53" s="235">
        <f t="shared" si="7"/>
        <v>35</v>
      </c>
      <c r="AR53" s="236">
        <v>85</v>
      </c>
      <c r="AS53" s="236">
        <v>95</v>
      </c>
    </row>
    <row r="54" spans="1:45" ht="14.1" customHeight="1">
      <c r="A54" s="275" t="s">
        <v>493</v>
      </c>
      <c r="B54" s="237" t="s">
        <v>406</v>
      </c>
      <c r="C54" s="276" t="s">
        <v>406</v>
      </c>
      <c r="D54" s="276" t="s">
        <v>406</v>
      </c>
      <c r="E54" s="276" t="s">
        <v>406</v>
      </c>
      <c r="F54" s="276" t="s">
        <v>406</v>
      </c>
      <c r="G54" s="273"/>
      <c r="H54" s="155"/>
      <c r="I54" s="277"/>
      <c r="J54" s="240" t="s">
        <v>407</v>
      </c>
      <c r="K54" s="240" t="s">
        <v>407</v>
      </c>
      <c r="L54" s="240" t="s">
        <v>407</v>
      </c>
      <c r="M54" s="240" t="s">
        <v>407</v>
      </c>
      <c r="N54" s="240" t="s">
        <v>407</v>
      </c>
      <c r="O54" s="57" t="s">
        <v>494</v>
      </c>
      <c r="P54" s="147"/>
      <c r="Q54" s="147"/>
      <c r="R54" s="147"/>
      <c r="S54" s="147"/>
      <c r="T54" s="147"/>
      <c r="U54" s="147"/>
      <c r="V54" s="269"/>
      <c r="W54" s="155"/>
      <c r="X54" s="5476"/>
      <c r="Y54" s="1062" t="s">
        <v>270</v>
      </c>
      <c r="Z54" s="1062">
        <v>265</v>
      </c>
      <c r="AA54" s="1063" t="s">
        <v>412</v>
      </c>
      <c r="AB54" s="1062">
        <v>140</v>
      </c>
      <c r="AC54" s="1062">
        <v>74</v>
      </c>
      <c r="AD54" s="3806">
        <f>(AC54*AB54)/100</f>
        <v>103.6</v>
      </c>
      <c r="AE54" s="107"/>
      <c r="AF54" s="107"/>
      <c r="AG54" s="155"/>
      <c r="AH54" s="231" t="s">
        <v>495</v>
      </c>
      <c r="AI54" s="231" t="s">
        <v>418</v>
      </c>
      <c r="AJ54" s="232" t="s">
        <v>56</v>
      </c>
      <c r="AK54" s="231" t="s">
        <v>396</v>
      </c>
      <c r="AL54" s="245"/>
      <c r="AM54" s="245"/>
      <c r="AN54" s="246" t="s">
        <v>496</v>
      </c>
      <c r="AO54" s="247">
        <v>12</v>
      </c>
      <c r="AP54" s="235">
        <f t="shared" si="7"/>
        <v>15.555555555555557</v>
      </c>
      <c r="AQ54" s="235">
        <f t="shared" si="7"/>
        <v>23.888888888888886</v>
      </c>
      <c r="AR54" s="236">
        <v>60</v>
      </c>
      <c r="AS54" s="236">
        <v>75</v>
      </c>
    </row>
    <row r="55" spans="1:45" ht="14.1" customHeight="1">
      <c r="A55" s="5474"/>
      <c r="B55" s="5475" t="s">
        <v>457</v>
      </c>
      <c r="C55" s="5468" t="s">
        <v>458</v>
      </c>
      <c r="D55" s="5468" t="s">
        <v>459</v>
      </c>
      <c r="E55" s="5468" t="s">
        <v>460</v>
      </c>
      <c r="F55" s="5468" t="s">
        <v>461</v>
      </c>
      <c r="G55" s="5469" t="s">
        <v>462</v>
      </c>
      <c r="H55" s="155"/>
      <c r="I55" s="5459"/>
      <c r="J55" s="5419" t="s">
        <v>457</v>
      </c>
      <c r="K55" s="5420" t="s">
        <v>458</v>
      </c>
      <c r="L55" s="5420" t="s">
        <v>459</v>
      </c>
      <c r="M55" s="5420" t="s">
        <v>460</v>
      </c>
      <c r="N55" s="5420" t="s">
        <v>461</v>
      </c>
      <c r="O55" s="5470" t="s">
        <v>462</v>
      </c>
      <c r="P55" s="1059"/>
      <c r="Q55" s="1059"/>
      <c r="R55" s="1059"/>
      <c r="S55" s="5471" t="s">
        <v>497</v>
      </c>
      <c r="T55" s="5471"/>
      <c r="U55" s="5471"/>
      <c r="V55" s="1060"/>
      <c r="W55" s="155"/>
      <c r="X55" s="5476"/>
      <c r="Y55" s="1062" t="s">
        <v>267</v>
      </c>
      <c r="Z55" s="1062">
        <v>266</v>
      </c>
      <c r="AA55" s="1063" t="s">
        <v>412</v>
      </c>
      <c r="AB55" s="1062">
        <v>200</v>
      </c>
      <c r="AC55" s="1062">
        <v>74</v>
      </c>
      <c r="AD55" s="3806">
        <f>AB55*AC55/100</f>
        <v>148</v>
      </c>
      <c r="AE55" s="107"/>
      <c r="AF55" s="107"/>
      <c r="AG55" s="155"/>
      <c r="AH55" s="231" t="s">
        <v>498</v>
      </c>
      <c r="AI55" s="231" t="s">
        <v>418</v>
      </c>
      <c r="AJ55" s="232" t="s">
        <v>56</v>
      </c>
      <c r="AK55" s="231" t="s">
        <v>396</v>
      </c>
      <c r="AL55" s="245"/>
      <c r="AM55" s="245"/>
      <c r="AN55" s="246" t="s">
        <v>496</v>
      </c>
      <c r="AO55" s="247">
        <v>12</v>
      </c>
      <c r="AP55" s="235">
        <f t="shared" si="7"/>
        <v>15.555555555555557</v>
      </c>
      <c r="AQ55" s="235">
        <f t="shared" si="7"/>
        <v>23.888888888888886</v>
      </c>
      <c r="AR55" s="236">
        <v>60</v>
      </c>
      <c r="AS55" s="236">
        <v>75</v>
      </c>
    </row>
    <row r="56" spans="1:45" ht="13.5" customHeight="1">
      <c r="A56" s="5474"/>
      <c r="B56" s="5475"/>
      <c r="C56" s="5468"/>
      <c r="D56" s="5468"/>
      <c r="E56" s="5468"/>
      <c r="F56" s="5468"/>
      <c r="G56" s="5469"/>
      <c r="H56" s="155"/>
      <c r="I56" s="5459"/>
      <c r="J56" s="5419"/>
      <c r="K56" s="5420"/>
      <c r="L56" s="5420"/>
      <c r="M56" s="5420"/>
      <c r="N56" s="5420"/>
      <c r="O56" s="5470"/>
      <c r="P56" s="1059"/>
      <c r="Q56" s="1059"/>
      <c r="R56" s="1059"/>
      <c r="S56" s="2632" t="s">
        <v>499</v>
      </c>
      <c r="T56" s="2632" t="s">
        <v>500</v>
      </c>
      <c r="U56" s="2632" t="s">
        <v>501</v>
      </c>
      <c r="V56" s="1061"/>
      <c r="W56" s="155"/>
      <c r="X56" s="5476"/>
      <c r="Y56" s="1062" t="s">
        <v>271</v>
      </c>
      <c r="Z56" s="1062">
        <v>265</v>
      </c>
      <c r="AA56" s="1063" t="s">
        <v>412</v>
      </c>
      <c r="AB56" s="1062">
        <v>1220</v>
      </c>
      <c r="AC56" s="1062">
        <v>74</v>
      </c>
      <c r="AD56" s="3806">
        <f>AB56*AC56/100</f>
        <v>902.8</v>
      </c>
      <c r="AE56" s="107"/>
      <c r="AF56" s="107"/>
      <c r="AG56" s="155"/>
      <c r="AH56" s="231" t="s">
        <v>502</v>
      </c>
      <c r="AI56" s="231" t="s">
        <v>503</v>
      </c>
      <c r="AJ56" s="278" t="s">
        <v>504</v>
      </c>
      <c r="AK56" s="231" t="s">
        <v>414</v>
      </c>
      <c r="AL56" s="245"/>
      <c r="AM56" s="245"/>
      <c r="AN56" s="246" t="s">
        <v>391</v>
      </c>
      <c r="AO56" s="247" t="s">
        <v>412</v>
      </c>
      <c r="AP56" s="235">
        <f t="shared" si="7"/>
        <v>17.777777777777779</v>
      </c>
      <c r="AQ56" s="235">
        <f t="shared" si="7"/>
        <v>22.777777777777779</v>
      </c>
      <c r="AR56" s="236">
        <v>64</v>
      </c>
      <c r="AS56" s="236">
        <v>73</v>
      </c>
    </row>
    <row r="57" spans="1:45" ht="13.5" customHeight="1">
      <c r="A57" s="5393" t="s">
        <v>505</v>
      </c>
      <c r="B57" s="250" t="s">
        <v>466</v>
      </c>
      <c r="C57" s="250">
        <v>300</v>
      </c>
      <c r="D57" s="262" t="s">
        <v>412</v>
      </c>
      <c r="E57" s="263">
        <v>5</v>
      </c>
      <c r="F57" s="250">
        <v>82</v>
      </c>
      <c r="G57" s="3740">
        <f>E57*F57/100</f>
        <v>4.0999999999999996</v>
      </c>
      <c r="H57" s="155"/>
      <c r="I57" s="5389" t="s">
        <v>506</v>
      </c>
      <c r="J57" s="1062" t="s">
        <v>507</v>
      </c>
      <c r="K57" s="1062">
        <v>270</v>
      </c>
      <c r="L57" s="1063" t="s">
        <v>412</v>
      </c>
      <c r="M57" s="1062">
        <v>35</v>
      </c>
      <c r="N57" s="1062">
        <v>74</v>
      </c>
      <c r="O57" s="3735">
        <f t="shared" ref="O57:O65" si="10">(N57*M57)/100</f>
        <v>25.9</v>
      </c>
      <c r="P57" s="1064"/>
      <c r="Q57" s="1064"/>
      <c r="R57" s="1064"/>
      <c r="S57" s="2633">
        <v>20</v>
      </c>
      <c r="T57" s="2634">
        <v>26</v>
      </c>
      <c r="U57" s="2634">
        <v>29</v>
      </c>
      <c r="V57" s="1066"/>
      <c r="W57" s="155"/>
      <c r="X57" s="5473" t="s">
        <v>143</v>
      </c>
      <c r="Y57" s="1062" t="s">
        <v>274</v>
      </c>
      <c r="Z57" s="1087">
        <v>375</v>
      </c>
      <c r="AA57" s="419">
        <v>1</v>
      </c>
      <c r="AB57" s="419">
        <v>0</v>
      </c>
      <c r="AC57" s="419">
        <v>100</v>
      </c>
      <c r="AD57" s="3806">
        <f>AB57*AC57/100</f>
        <v>0</v>
      </c>
      <c r="AE57" s="107"/>
      <c r="AF57" s="107"/>
      <c r="AG57" s="155"/>
      <c r="AH57" s="231" t="s">
        <v>508</v>
      </c>
      <c r="AI57" s="231" t="s">
        <v>503</v>
      </c>
      <c r="AJ57" s="278" t="s">
        <v>504</v>
      </c>
      <c r="AK57" s="231" t="s">
        <v>391</v>
      </c>
      <c r="AL57" s="245"/>
      <c r="AM57" s="245"/>
      <c r="AN57" s="279" t="s">
        <v>430</v>
      </c>
      <c r="AO57" s="247" t="s">
        <v>412</v>
      </c>
      <c r="AP57" s="235">
        <f t="shared" si="7"/>
        <v>10</v>
      </c>
      <c r="AQ57" s="235">
        <f t="shared" si="7"/>
        <v>15</v>
      </c>
      <c r="AR57" s="236">
        <v>50</v>
      </c>
      <c r="AS57" s="236">
        <v>59</v>
      </c>
    </row>
    <row r="58" spans="1:45" ht="14.1" customHeight="1">
      <c r="A58" s="5393"/>
      <c r="B58" s="250" t="s">
        <v>509</v>
      </c>
      <c r="C58" s="250">
        <v>295</v>
      </c>
      <c r="D58" s="262" t="s">
        <v>412</v>
      </c>
      <c r="E58" s="263">
        <v>7</v>
      </c>
      <c r="F58" s="250">
        <v>71</v>
      </c>
      <c r="G58" s="3740">
        <f>E58*F58/100</f>
        <v>4.97</v>
      </c>
      <c r="H58" s="155"/>
      <c r="I58" s="5389"/>
      <c r="J58" s="1062" t="s">
        <v>510</v>
      </c>
      <c r="K58" s="1062">
        <v>270</v>
      </c>
      <c r="L58" s="1063" t="s">
        <v>412</v>
      </c>
      <c r="M58" s="1062">
        <v>110</v>
      </c>
      <c r="N58" s="1062">
        <v>72</v>
      </c>
      <c r="O58" s="3735">
        <f t="shared" si="10"/>
        <v>79.2</v>
      </c>
      <c r="P58" s="1064"/>
      <c r="Q58" s="1064"/>
      <c r="R58" s="1064"/>
      <c r="S58" s="2633">
        <v>10</v>
      </c>
      <c r="T58" s="2633">
        <v>13</v>
      </c>
      <c r="U58" s="2633">
        <v>15</v>
      </c>
      <c r="V58" s="1066"/>
      <c r="W58" s="2644"/>
      <c r="X58" s="5473"/>
      <c r="Y58" s="1062" t="s">
        <v>275</v>
      </c>
      <c r="Z58" s="1087">
        <v>370</v>
      </c>
      <c r="AA58" s="1062">
        <v>1</v>
      </c>
      <c r="AB58" s="1062">
        <v>16</v>
      </c>
      <c r="AC58" s="419">
        <v>100</v>
      </c>
      <c r="AD58" s="3806">
        <f>AB58*AC58/100</f>
        <v>16</v>
      </c>
      <c r="AE58" s="107"/>
      <c r="AF58" s="107"/>
      <c r="AG58" s="2644"/>
      <c r="AH58" s="231" t="s">
        <v>511</v>
      </c>
      <c r="AI58" s="231" t="s">
        <v>418</v>
      </c>
      <c r="AJ58" s="232" t="s">
        <v>56</v>
      </c>
      <c r="AK58" s="231" t="s">
        <v>396</v>
      </c>
      <c r="AL58" s="233">
        <v>73</v>
      </c>
      <c r="AM58" s="233">
        <v>75</v>
      </c>
      <c r="AN58" s="234">
        <v>74</v>
      </c>
      <c r="AO58" s="247">
        <v>10</v>
      </c>
      <c r="AP58" s="235">
        <f t="shared" si="7"/>
        <v>17.777777777777779</v>
      </c>
      <c r="AQ58" s="235">
        <f t="shared" si="7"/>
        <v>22.222222222222221</v>
      </c>
      <c r="AR58" s="236">
        <v>64</v>
      </c>
      <c r="AS58" s="236">
        <v>72</v>
      </c>
    </row>
    <row r="59" spans="1:45">
      <c r="A59" s="5393"/>
      <c r="B59" s="250" t="s">
        <v>468</v>
      </c>
      <c r="C59" s="250">
        <v>300</v>
      </c>
      <c r="D59" s="262" t="s">
        <v>412</v>
      </c>
      <c r="E59" s="263">
        <v>2.75</v>
      </c>
      <c r="F59" s="250">
        <v>80</v>
      </c>
      <c r="G59" s="3740">
        <f>E59*F59/100</f>
        <v>2.2000000000000002</v>
      </c>
      <c r="H59" s="155"/>
      <c r="I59" s="5389"/>
      <c r="J59" s="1062" t="s">
        <v>468</v>
      </c>
      <c r="K59" s="1062">
        <v>300</v>
      </c>
      <c r="L59" s="1063" t="s">
        <v>412</v>
      </c>
      <c r="M59" s="1067">
        <v>2.75</v>
      </c>
      <c r="N59" s="1062">
        <v>80</v>
      </c>
      <c r="O59" s="3735">
        <f t="shared" si="10"/>
        <v>2.2000000000000002</v>
      </c>
      <c r="P59" s="1064"/>
      <c r="Q59" s="1064"/>
      <c r="R59" s="1064"/>
      <c r="S59" s="1068"/>
      <c r="T59" s="1068"/>
      <c r="U59" s="1068"/>
      <c r="V59" s="1066"/>
      <c r="W59" s="2644"/>
      <c r="X59" s="5473"/>
      <c r="Y59" s="1062" t="s">
        <v>276</v>
      </c>
      <c r="Z59" s="1087">
        <v>370</v>
      </c>
      <c r="AA59" s="1062">
        <v>1</v>
      </c>
      <c r="AB59" s="1062">
        <v>45</v>
      </c>
      <c r="AC59" s="419">
        <v>100</v>
      </c>
      <c r="AD59" s="3806">
        <f>AB59*AC59/100</f>
        <v>45</v>
      </c>
      <c r="AE59" s="107"/>
      <c r="AF59" s="107"/>
      <c r="AG59" s="2644"/>
      <c r="AH59" s="231" t="s">
        <v>512</v>
      </c>
      <c r="AI59" s="231" t="s">
        <v>418</v>
      </c>
      <c r="AJ59" s="232" t="s">
        <v>56</v>
      </c>
      <c r="AK59" s="231" t="s">
        <v>391</v>
      </c>
      <c r="AL59" s="233">
        <v>73</v>
      </c>
      <c r="AM59" s="233">
        <v>76</v>
      </c>
      <c r="AN59" s="234">
        <v>74</v>
      </c>
      <c r="AO59" s="247">
        <v>10</v>
      </c>
      <c r="AP59" s="235">
        <f t="shared" si="7"/>
        <v>17.222222222222221</v>
      </c>
      <c r="AQ59" s="235">
        <f t="shared" si="7"/>
        <v>23.888888888888886</v>
      </c>
      <c r="AR59" s="236">
        <v>63</v>
      </c>
      <c r="AS59" s="236">
        <v>75</v>
      </c>
    </row>
    <row r="60" spans="1:45" ht="14.1" customHeight="1">
      <c r="A60" s="5393"/>
      <c r="B60" s="250" t="s">
        <v>513</v>
      </c>
      <c r="C60" s="250">
        <v>295</v>
      </c>
      <c r="D60" s="262" t="s">
        <v>412</v>
      </c>
      <c r="E60" s="250">
        <v>15</v>
      </c>
      <c r="F60" s="250">
        <v>81</v>
      </c>
      <c r="G60" s="3740">
        <f>E60*F60/100</f>
        <v>12.15</v>
      </c>
      <c r="H60" s="155"/>
      <c r="I60" s="5389"/>
      <c r="J60" s="1062" t="s">
        <v>509</v>
      </c>
      <c r="K60" s="1062">
        <v>295</v>
      </c>
      <c r="L60" s="1063" t="s">
        <v>412</v>
      </c>
      <c r="M60" s="1067">
        <v>7</v>
      </c>
      <c r="N60" s="1062">
        <v>71</v>
      </c>
      <c r="O60" s="3735">
        <f t="shared" si="10"/>
        <v>4.97</v>
      </c>
      <c r="P60" s="1069"/>
      <c r="Q60" s="1069"/>
      <c r="R60" s="1069"/>
      <c r="S60" s="1070"/>
      <c r="T60" s="1068"/>
      <c r="U60" s="1068"/>
      <c r="V60" s="1066"/>
      <c r="W60" s="2644"/>
      <c r="X60" s="5473"/>
      <c r="Y60" s="3807" t="s">
        <v>1807</v>
      </c>
      <c r="Z60" s="3808">
        <v>360</v>
      </c>
      <c r="AA60" s="3807">
        <v>0.95</v>
      </c>
      <c r="AB60" s="3807"/>
      <c r="AC60" s="3807">
        <v>100</v>
      </c>
      <c r="AD60" s="3809">
        <f>(AC60*AB60)/100</f>
        <v>0</v>
      </c>
      <c r="AE60" s="107"/>
      <c r="AF60" s="107"/>
      <c r="AG60" s="2644"/>
      <c r="AH60" s="231" t="s">
        <v>514</v>
      </c>
      <c r="AI60" s="231" t="s">
        <v>395</v>
      </c>
      <c r="AJ60" s="232" t="s">
        <v>56</v>
      </c>
      <c r="AK60" s="231" t="s">
        <v>391</v>
      </c>
      <c r="AL60" s="233">
        <v>67</v>
      </c>
      <c r="AM60" s="233">
        <v>74</v>
      </c>
      <c r="AN60" s="234">
        <f t="shared" ref="AN60:AN67" si="11">(AL60+AM60)/2</f>
        <v>70.5</v>
      </c>
      <c r="AO60" s="226" t="s">
        <v>397</v>
      </c>
      <c r="AP60" s="235">
        <f t="shared" si="7"/>
        <v>18.333333333333336</v>
      </c>
      <c r="AQ60" s="235">
        <f t="shared" si="7"/>
        <v>21.111111111111114</v>
      </c>
      <c r="AR60" s="236">
        <v>65</v>
      </c>
      <c r="AS60" s="236">
        <v>70</v>
      </c>
    </row>
    <row r="61" spans="1:45">
      <c r="A61" s="5393"/>
      <c r="B61" s="250" t="s">
        <v>515</v>
      </c>
      <c r="C61" s="250">
        <v>295</v>
      </c>
      <c r="D61" s="262" t="s">
        <v>412</v>
      </c>
      <c r="E61" s="263">
        <v>9</v>
      </c>
      <c r="F61" s="250">
        <v>73</v>
      </c>
      <c r="G61" s="3740">
        <f t="shared" ref="G61:G87" si="12">E61*F61/100</f>
        <v>6.57</v>
      </c>
      <c r="H61" s="155"/>
      <c r="I61" s="5389"/>
      <c r="J61" s="1062" t="s">
        <v>513</v>
      </c>
      <c r="K61" s="1062">
        <v>295</v>
      </c>
      <c r="L61" s="1063" t="s">
        <v>412</v>
      </c>
      <c r="M61" s="1062">
        <v>15</v>
      </c>
      <c r="N61" s="1062">
        <v>81</v>
      </c>
      <c r="O61" s="3735">
        <f t="shared" si="10"/>
        <v>12.15</v>
      </c>
      <c r="P61" s="1064"/>
      <c r="Q61" s="1071"/>
      <c r="R61" s="1071"/>
      <c r="S61" s="1071"/>
      <c r="T61" s="1068"/>
      <c r="U61" s="1068"/>
      <c r="V61" s="1066"/>
      <c r="W61" s="2644"/>
      <c r="X61" s="5473"/>
      <c r="Y61" s="3810" t="s">
        <v>490</v>
      </c>
      <c r="Z61" s="3811">
        <v>380</v>
      </c>
      <c r="AA61" s="3812">
        <v>0</v>
      </c>
      <c r="AB61" s="3812">
        <v>30</v>
      </c>
      <c r="AC61" s="3812">
        <v>100</v>
      </c>
      <c r="AD61" s="3809">
        <f>AB61*AC61/100</f>
        <v>30</v>
      </c>
      <c r="AE61" s="107"/>
      <c r="AF61" s="107"/>
      <c r="AG61" s="2644"/>
      <c r="AH61" s="231" t="s">
        <v>517</v>
      </c>
      <c r="AI61" s="231" t="s">
        <v>418</v>
      </c>
      <c r="AJ61" s="232" t="s">
        <v>56</v>
      </c>
      <c r="AK61" s="231" t="s">
        <v>404</v>
      </c>
      <c r="AL61" s="233">
        <v>74</v>
      </c>
      <c r="AM61" s="233">
        <v>77</v>
      </c>
      <c r="AN61" s="234">
        <f t="shared" si="11"/>
        <v>75.5</v>
      </c>
      <c r="AO61" s="226" t="s">
        <v>416</v>
      </c>
      <c r="AP61" s="235">
        <f t="shared" si="7"/>
        <v>17.222222222222221</v>
      </c>
      <c r="AQ61" s="235">
        <f t="shared" si="7"/>
        <v>25</v>
      </c>
      <c r="AR61" s="236">
        <v>63</v>
      </c>
      <c r="AS61" s="236">
        <v>77</v>
      </c>
    </row>
    <row r="62" spans="1:45" ht="14.1" customHeight="1">
      <c r="A62" s="5393"/>
      <c r="B62" s="250" t="s">
        <v>518</v>
      </c>
      <c r="C62" s="250">
        <v>305</v>
      </c>
      <c r="D62" s="262" t="s">
        <v>412</v>
      </c>
      <c r="E62" s="263">
        <v>3.5</v>
      </c>
      <c r="F62" s="250">
        <v>85</v>
      </c>
      <c r="G62" s="3740">
        <f t="shared" si="12"/>
        <v>2.9750000000000001</v>
      </c>
      <c r="H62" s="155"/>
      <c r="I62" s="5389"/>
      <c r="J62" s="1062" t="s">
        <v>466</v>
      </c>
      <c r="K62" s="1062">
        <v>300</v>
      </c>
      <c r="L62" s="1063" t="s">
        <v>412</v>
      </c>
      <c r="M62" s="1067">
        <v>5</v>
      </c>
      <c r="N62" s="1062">
        <v>82</v>
      </c>
      <c r="O62" s="3735">
        <f t="shared" si="10"/>
        <v>4.0999999999999996</v>
      </c>
      <c r="P62" s="1064"/>
      <c r="Q62" s="1072"/>
      <c r="R62" s="1072"/>
      <c r="S62" s="1072"/>
      <c r="T62" s="1073"/>
      <c r="U62" s="1068"/>
      <c r="V62" s="1066"/>
      <c r="W62" s="2644"/>
      <c r="X62" s="2622"/>
      <c r="Y62" s="2184"/>
      <c r="Z62" s="2184"/>
      <c r="AA62" s="2184"/>
      <c r="AB62" s="2184"/>
      <c r="AC62" s="2184"/>
      <c r="AD62" s="3813"/>
      <c r="AE62" s="107"/>
      <c r="AF62" s="107"/>
      <c r="AG62" s="2644"/>
      <c r="AH62" s="231" t="s">
        <v>520</v>
      </c>
      <c r="AI62" s="231" t="s">
        <v>418</v>
      </c>
      <c r="AJ62" s="232" t="s">
        <v>56</v>
      </c>
      <c r="AK62" s="231" t="s">
        <v>404</v>
      </c>
      <c r="AL62" s="233">
        <v>71</v>
      </c>
      <c r="AM62" s="233">
        <v>75</v>
      </c>
      <c r="AN62" s="234">
        <f t="shared" si="11"/>
        <v>73</v>
      </c>
      <c r="AO62" s="247">
        <v>9</v>
      </c>
      <c r="AP62" s="235">
        <f t="shared" si="7"/>
        <v>8.8888888888888857</v>
      </c>
      <c r="AQ62" s="235">
        <f t="shared" si="7"/>
        <v>13.333333333333336</v>
      </c>
      <c r="AR62" s="236">
        <v>48</v>
      </c>
      <c r="AS62" s="236">
        <v>56</v>
      </c>
    </row>
    <row r="63" spans="1:45" ht="14.1" customHeight="1">
      <c r="A63" s="5393"/>
      <c r="B63" s="250" t="s">
        <v>521</v>
      </c>
      <c r="C63" s="250">
        <v>260</v>
      </c>
      <c r="D63" s="262" t="s">
        <v>412</v>
      </c>
      <c r="E63" s="263">
        <v>2.5</v>
      </c>
      <c r="F63" s="250">
        <v>71</v>
      </c>
      <c r="G63" s="3740">
        <f t="shared" si="12"/>
        <v>1.7749999999999999</v>
      </c>
      <c r="H63" s="155"/>
      <c r="I63" s="5389"/>
      <c r="J63" s="1062" t="s">
        <v>515</v>
      </c>
      <c r="K63" s="1062">
        <v>295</v>
      </c>
      <c r="L63" s="1063" t="s">
        <v>412</v>
      </c>
      <c r="M63" s="1067">
        <v>9</v>
      </c>
      <c r="N63" s="1062">
        <v>73</v>
      </c>
      <c r="O63" s="3735">
        <f>(N63*M63)/100</f>
        <v>6.57</v>
      </c>
      <c r="P63" s="1064"/>
      <c r="Q63" s="1064"/>
      <c r="R63" s="1064"/>
      <c r="S63" s="1068"/>
      <c r="T63" s="1068"/>
      <c r="U63" s="1068"/>
      <c r="V63" s="1066"/>
      <c r="W63" s="2644"/>
      <c r="X63" s="2643"/>
      <c r="Y63" s="2643"/>
      <c r="Z63" s="2643"/>
      <c r="AA63" s="2643"/>
      <c r="AB63" s="2643"/>
      <c r="AC63" s="2643"/>
      <c r="AD63" s="2643"/>
      <c r="AE63" s="107"/>
      <c r="AF63" s="107"/>
      <c r="AG63" s="2644"/>
      <c r="AH63" s="231" t="s">
        <v>522</v>
      </c>
      <c r="AI63" s="231" t="s">
        <v>395</v>
      </c>
      <c r="AJ63" s="232" t="s">
        <v>56</v>
      </c>
      <c r="AK63" s="231" t="s">
        <v>396</v>
      </c>
      <c r="AL63" s="233">
        <v>65</v>
      </c>
      <c r="AM63" s="233">
        <v>75</v>
      </c>
      <c r="AN63" s="234">
        <f t="shared" si="11"/>
        <v>70</v>
      </c>
      <c r="AO63" s="226" t="s">
        <v>397</v>
      </c>
      <c r="AP63" s="235">
        <f t="shared" si="7"/>
        <v>20</v>
      </c>
      <c r="AQ63" s="235">
        <f t="shared" si="7"/>
        <v>22.777777777777779</v>
      </c>
      <c r="AR63" s="236">
        <v>68</v>
      </c>
      <c r="AS63" s="236">
        <v>73</v>
      </c>
    </row>
    <row r="64" spans="1:45" ht="14.1" customHeight="1">
      <c r="A64" s="5393"/>
      <c r="B64" s="250" t="s">
        <v>523</v>
      </c>
      <c r="C64" s="250">
        <v>310</v>
      </c>
      <c r="D64" s="262" t="s">
        <v>412</v>
      </c>
      <c r="E64" s="263">
        <v>1</v>
      </c>
      <c r="F64" s="250">
        <v>71</v>
      </c>
      <c r="G64" s="3740">
        <f t="shared" si="12"/>
        <v>0.71</v>
      </c>
      <c r="H64" s="155"/>
      <c r="I64" s="5389"/>
      <c r="J64" s="1062" t="s">
        <v>518</v>
      </c>
      <c r="K64" s="1062">
        <v>305</v>
      </c>
      <c r="L64" s="1063" t="s">
        <v>412</v>
      </c>
      <c r="M64" s="1067">
        <v>3.5</v>
      </c>
      <c r="N64" s="1062">
        <v>85</v>
      </c>
      <c r="O64" s="3735">
        <f>(N64*M64)/100</f>
        <v>2.9750000000000001</v>
      </c>
      <c r="P64" s="1064"/>
      <c r="Q64" s="1064"/>
      <c r="R64" s="1064"/>
      <c r="S64" s="1065">
        <v>70</v>
      </c>
      <c r="T64" s="1074"/>
      <c r="U64" s="1075"/>
      <c r="V64" s="1066"/>
      <c r="W64" s="2644"/>
      <c r="X64" s="2643"/>
      <c r="Y64" s="2643"/>
      <c r="Z64" s="2643"/>
      <c r="AA64" s="2643"/>
      <c r="AB64" s="2643"/>
      <c r="AC64" s="2643"/>
      <c r="AD64" s="2643"/>
      <c r="AE64" s="107"/>
      <c r="AF64" s="107"/>
      <c r="AG64" s="2644"/>
      <c r="AH64" s="231" t="s">
        <v>524</v>
      </c>
      <c r="AI64" s="231" t="s">
        <v>395</v>
      </c>
      <c r="AJ64" s="232" t="s">
        <v>56</v>
      </c>
      <c r="AK64" s="231" t="s">
        <v>404</v>
      </c>
      <c r="AL64" s="233">
        <v>70</v>
      </c>
      <c r="AM64" s="233">
        <v>75</v>
      </c>
      <c r="AN64" s="234">
        <f t="shared" si="11"/>
        <v>72.5</v>
      </c>
      <c r="AO64" s="226" t="s">
        <v>416</v>
      </c>
      <c r="AP64" s="235">
        <f t="shared" si="7"/>
        <v>18.888888888888886</v>
      </c>
      <c r="AQ64" s="235">
        <f t="shared" si="7"/>
        <v>21.111111111111114</v>
      </c>
      <c r="AR64" s="236">
        <v>66</v>
      </c>
      <c r="AS64" s="236">
        <v>70</v>
      </c>
    </row>
    <row r="65" spans="1:45" ht="14.1" customHeight="1">
      <c r="A65" s="5393"/>
      <c r="B65" s="250" t="s">
        <v>470</v>
      </c>
      <c r="C65" s="250">
        <v>250</v>
      </c>
      <c r="D65" s="262" t="s">
        <v>412</v>
      </c>
      <c r="E65" s="263">
        <v>3</v>
      </c>
      <c r="F65" s="250">
        <v>71</v>
      </c>
      <c r="G65" s="3740">
        <f t="shared" si="12"/>
        <v>2.13</v>
      </c>
      <c r="H65" s="155"/>
      <c r="I65" s="5389"/>
      <c r="J65" s="1062" t="s">
        <v>525</v>
      </c>
      <c r="K65" s="1062"/>
      <c r="L65" s="1063" t="s">
        <v>412</v>
      </c>
      <c r="M65" s="1067"/>
      <c r="N65" s="1062"/>
      <c r="O65" s="3735">
        <f t="shared" si="10"/>
        <v>0</v>
      </c>
      <c r="P65" s="1064"/>
      <c r="Q65" s="1064"/>
      <c r="R65" s="1064"/>
      <c r="S65" s="1068"/>
      <c r="T65" s="1075"/>
      <c r="U65" s="1075"/>
      <c r="V65" s="1066"/>
      <c r="W65" s="2644"/>
      <c r="X65" s="2643"/>
      <c r="Y65" s="2643"/>
      <c r="Z65" s="2643"/>
      <c r="AA65" s="2643"/>
      <c r="AB65" s="2643"/>
      <c r="AC65" s="2643"/>
      <c r="AD65" s="2643"/>
      <c r="AE65" s="107"/>
      <c r="AF65" s="107"/>
      <c r="AG65" s="2644"/>
      <c r="AH65" s="231" t="s">
        <v>526</v>
      </c>
      <c r="AI65" s="231" t="s">
        <v>395</v>
      </c>
      <c r="AJ65" s="232" t="s">
        <v>56</v>
      </c>
      <c r="AK65" s="231" t="s">
        <v>396</v>
      </c>
      <c r="AL65" s="233">
        <v>73</v>
      </c>
      <c r="AM65" s="233">
        <v>80</v>
      </c>
      <c r="AN65" s="234">
        <f t="shared" si="11"/>
        <v>76.5</v>
      </c>
      <c r="AO65" s="226" t="s">
        <v>405</v>
      </c>
      <c r="AP65" s="235">
        <f t="shared" si="7"/>
        <v>20</v>
      </c>
      <c r="AQ65" s="235">
        <f t="shared" si="7"/>
        <v>22.777777777777779</v>
      </c>
      <c r="AR65" s="236">
        <v>68</v>
      </c>
      <c r="AS65" s="236">
        <v>73</v>
      </c>
    </row>
    <row r="66" spans="1:45" ht="14.1" customHeight="1">
      <c r="A66" s="5393"/>
      <c r="B66" s="250" t="s">
        <v>527</v>
      </c>
      <c r="C66" s="264">
        <v>250</v>
      </c>
      <c r="D66" s="262" t="s">
        <v>412</v>
      </c>
      <c r="E66" s="263">
        <v>1.5</v>
      </c>
      <c r="F66" s="250">
        <v>71</v>
      </c>
      <c r="G66" s="3740">
        <f t="shared" si="12"/>
        <v>1.0649999999999999</v>
      </c>
      <c r="H66" s="155"/>
      <c r="I66" s="5389"/>
      <c r="J66" s="1062" t="s">
        <v>525</v>
      </c>
      <c r="K66" s="1062"/>
      <c r="L66" s="1063" t="s">
        <v>412</v>
      </c>
      <c r="M66" s="1067"/>
      <c r="N66" s="1062"/>
      <c r="O66" s="3735">
        <f t="shared" ref="O66:O77" si="13">(N66*M66)/100</f>
        <v>0</v>
      </c>
      <c r="P66" s="1064"/>
      <c r="Q66" s="1064"/>
      <c r="R66" s="1064"/>
      <c r="S66" s="1064"/>
      <c r="T66" s="1064"/>
      <c r="U66" s="1064"/>
      <c r="V66" s="1066"/>
      <c r="W66" s="2644"/>
      <c r="X66" s="2643"/>
      <c r="Y66" s="2643"/>
      <c r="Z66" s="2643"/>
      <c r="AA66" s="2643"/>
      <c r="AB66" s="2643"/>
      <c r="AC66" s="2643"/>
      <c r="AD66" s="2643"/>
      <c r="AE66" s="107"/>
      <c r="AF66" s="107"/>
      <c r="AG66" s="2644"/>
      <c r="AH66" s="231" t="s">
        <v>528</v>
      </c>
      <c r="AI66" s="231" t="s">
        <v>418</v>
      </c>
      <c r="AJ66" s="232" t="s">
        <v>56</v>
      </c>
      <c r="AK66" s="231" t="s">
        <v>391</v>
      </c>
      <c r="AL66" s="233">
        <v>67</v>
      </c>
      <c r="AM66" s="233">
        <v>71</v>
      </c>
      <c r="AN66" s="234">
        <f t="shared" si="11"/>
        <v>69</v>
      </c>
      <c r="AO66" s="247">
        <v>9</v>
      </c>
      <c r="AP66" s="235">
        <f t="shared" si="7"/>
        <v>14.444444444444443</v>
      </c>
      <c r="AQ66" s="235">
        <f t="shared" si="7"/>
        <v>20</v>
      </c>
      <c r="AR66" s="236">
        <v>58</v>
      </c>
      <c r="AS66" s="236">
        <v>68</v>
      </c>
    </row>
    <row r="67" spans="1:45" ht="14.1" customHeight="1">
      <c r="A67" s="5393"/>
      <c r="B67" s="244" t="s">
        <v>529</v>
      </c>
      <c r="C67" s="244">
        <v>288</v>
      </c>
      <c r="D67" s="262" t="s">
        <v>412</v>
      </c>
      <c r="E67" s="280">
        <v>4</v>
      </c>
      <c r="F67" s="244">
        <v>71</v>
      </c>
      <c r="G67" s="3740">
        <f t="shared" si="12"/>
        <v>2.84</v>
      </c>
      <c r="H67" s="155"/>
      <c r="I67" s="5389"/>
      <c r="J67" s="1062" t="s">
        <v>525</v>
      </c>
      <c r="K67" s="1062"/>
      <c r="L67" s="1063" t="s">
        <v>412</v>
      </c>
      <c r="M67" s="1067"/>
      <c r="N67" s="1062"/>
      <c r="O67" s="3735">
        <f t="shared" si="13"/>
        <v>0</v>
      </c>
      <c r="P67" s="1071" t="s">
        <v>516</v>
      </c>
      <c r="Q67" s="1064"/>
      <c r="R67" s="1064"/>
      <c r="S67" s="1064"/>
      <c r="T67" s="1064"/>
      <c r="U67" s="1064"/>
      <c r="V67" s="1066"/>
      <c r="W67" s="2644"/>
      <c r="X67" s="2643"/>
      <c r="Y67" s="2643"/>
      <c r="Z67" s="2643"/>
      <c r="AA67" s="2643"/>
      <c r="AB67" s="2643"/>
      <c r="AC67" s="2643"/>
      <c r="AD67" s="2643"/>
      <c r="AE67" s="107"/>
      <c r="AF67" s="107"/>
      <c r="AG67" s="2644"/>
      <c r="AH67" s="231" t="s">
        <v>531</v>
      </c>
      <c r="AI67" s="231" t="s">
        <v>418</v>
      </c>
      <c r="AJ67" s="232" t="s">
        <v>56</v>
      </c>
      <c r="AK67" s="231" t="s">
        <v>396</v>
      </c>
      <c r="AL67" s="233">
        <v>75</v>
      </c>
      <c r="AM67" s="233">
        <v>79</v>
      </c>
      <c r="AN67" s="234">
        <f t="shared" si="11"/>
        <v>77</v>
      </c>
      <c r="AO67" s="247">
        <v>12</v>
      </c>
      <c r="AP67" s="235">
        <f t="shared" si="7"/>
        <v>18.333333333333336</v>
      </c>
      <c r="AQ67" s="235">
        <f t="shared" si="7"/>
        <v>26.666666666666671</v>
      </c>
      <c r="AR67" s="236">
        <v>65</v>
      </c>
      <c r="AS67" s="236">
        <v>80</v>
      </c>
    </row>
    <row r="68" spans="1:45" ht="14.1" customHeight="1">
      <c r="A68" s="5393"/>
      <c r="B68" s="250" t="s">
        <v>532</v>
      </c>
      <c r="C68" s="250">
        <v>173</v>
      </c>
      <c r="D68" s="262" t="s">
        <v>412</v>
      </c>
      <c r="E68" s="263"/>
      <c r="F68" s="250">
        <v>71</v>
      </c>
      <c r="G68" s="3740">
        <f t="shared" si="12"/>
        <v>0</v>
      </c>
      <c r="H68" s="155"/>
      <c r="I68" s="5389"/>
      <c r="J68" s="1062" t="s">
        <v>525</v>
      </c>
      <c r="K68" s="1062"/>
      <c r="L68" s="1063" t="s">
        <v>412</v>
      </c>
      <c r="M68" s="1067"/>
      <c r="N68" s="1062"/>
      <c r="O68" s="3735">
        <f t="shared" si="13"/>
        <v>0</v>
      </c>
      <c r="P68" s="1072" t="s">
        <v>519</v>
      </c>
      <c r="Q68" s="1064"/>
      <c r="R68" s="1064"/>
      <c r="S68" s="1064"/>
      <c r="T68" s="1064"/>
      <c r="U68" s="1064"/>
      <c r="V68" s="1066"/>
      <c r="W68" s="2644"/>
      <c r="X68" s="2643"/>
      <c r="Y68" s="2643"/>
      <c r="Z68" s="2643"/>
      <c r="AA68" s="2643"/>
      <c r="AB68" s="2643"/>
      <c r="AC68" s="2643"/>
      <c r="AD68" s="2643"/>
      <c r="AE68" s="107"/>
      <c r="AF68" s="107"/>
      <c r="AG68" s="2644"/>
      <c r="AH68" s="231" t="s">
        <v>533</v>
      </c>
      <c r="AI68" s="231" t="s">
        <v>534</v>
      </c>
      <c r="AJ68" s="278" t="s">
        <v>504</v>
      </c>
      <c r="AK68" s="231" t="s">
        <v>391</v>
      </c>
      <c r="AL68" s="245"/>
      <c r="AM68" s="245"/>
      <c r="AN68" s="246" t="s">
        <v>391</v>
      </c>
      <c r="AO68" s="247" t="s">
        <v>412</v>
      </c>
      <c r="AP68" s="235">
        <f t="shared" si="7"/>
        <v>20</v>
      </c>
      <c r="AQ68" s="235">
        <f t="shared" si="7"/>
        <v>26.666666666666671</v>
      </c>
      <c r="AR68" s="236">
        <v>68</v>
      </c>
      <c r="AS68" s="236">
        <v>80</v>
      </c>
    </row>
    <row r="69" spans="1:45" ht="14.1" customHeight="1">
      <c r="A69" s="5393"/>
      <c r="B69" s="250" t="s">
        <v>535</v>
      </c>
      <c r="C69" s="250">
        <v>304</v>
      </c>
      <c r="D69" s="262" t="s">
        <v>412</v>
      </c>
      <c r="E69" s="263"/>
      <c r="F69" s="250">
        <v>71</v>
      </c>
      <c r="G69" s="3740">
        <f t="shared" si="12"/>
        <v>0</v>
      </c>
      <c r="H69" s="155"/>
      <c r="I69" s="5389"/>
      <c r="J69" s="1062" t="s">
        <v>525</v>
      </c>
      <c r="K69" s="1062"/>
      <c r="L69" s="1063" t="s">
        <v>412</v>
      </c>
      <c r="M69" s="1067"/>
      <c r="N69" s="1062"/>
      <c r="O69" s="3735">
        <f t="shared" si="13"/>
        <v>0</v>
      </c>
      <c r="P69" s="1064"/>
      <c r="Q69" s="1064"/>
      <c r="R69" s="1064"/>
      <c r="S69" s="1064"/>
      <c r="T69" s="1064"/>
      <c r="U69" s="1064"/>
      <c r="V69" s="1066"/>
      <c r="W69" s="2644"/>
      <c r="X69" s="2643"/>
      <c r="Y69" s="2643"/>
      <c r="Z69" s="2643"/>
      <c r="AA69" s="2643"/>
      <c r="AB69" s="2643"/>
      <c r="AC69" s="2643"/>
      <c r="AD69" s="2643"/>
      <c r="AE69" s="107"/>
      <c r="AF69" s="107"/>
      <c r="AG69" s="2645"/>
      <c r="AH69" s="231" t="s">
        <v>537</v>
      </c>
      <c r="AI69" s="231" t="s">
        <v>395</v>
      </c>
      <c r="AJ69" s="232" t="s">
        <v>56</v>
      </c>
      <c r="AK69" s="231" t="s">
        <v>396</v>
      </c>
      <c r="AL69" s="233">
        <v>72</v>
      </c>
      <c r="AM69" s="233">
        <v>78</v>
      </c>
      <c r="AN69" s="234">
        <f t="shared" ref="AN69:AN79" si="14">(AL69+AM69)/2</f>
        <v>75</v>
      </c>
      <c r="AO69" s="226" t="s">
        <v>397</v>
      </c>
      <c r="AP69" s="235">
        <f t="shared" si="7"/>
        <v>10</v>
      </c>
      <c r="AQ69" s="235">
        <f t="shared" si="7"/>
        <v>14.444444444444443</v>
      </c>
      <c r="AR69" s="236">
        <v>50</v>
      </c>
      <c r="AS69" s="236">
        <v>58</v>
      </c>
    </row>
    <row r="70" spans="1:45" ht="14.1" customHeight="1">
      <c r="A70" s="5393"/>
      <c r="B70" s="250" t="s">
        <v>538</v>
      </c>
      <c r="C70" s="250">
        <v>305</v>
      </c>
      <c r="D70" s="262" t="s">
        <v>412</v>
      </c>
      <c r="E70" s="263">
        <v>3</v>
      </c>
      <c r="F70" s="250">
        <v>71</v>
      </c>
      <c r="G70" s="3740">
        <f t="shared" si="12"/>
        <v>2.13</v>
      </c>
      <c r="H70" s="155"/>
      <c r="I70" s="5389"/>
      <c r="J70" s="1062" t="s">
        <v>525</v>
      </c>
      <c r="K70" s="1062"/>
      <c r="L70" s="1063" t="s">
        <v>412</v>
      </c>
      <c r="M70" s="1067"/>
      <c r="N70" s="1062"/>
      <c r="O70" s="3735">
        <f t="shared" si="13"/>
        <v>0</v>
      </c>
      <c r="P70" s="1064"/>
      <c r="Q70" s="1064"/>
      <c r="R70" s="1064"/>
      <c r="S70" s="1064"/>
      <c r="T70" s="1064"/>
      <c r="U70" s="1064"/>
      <c r="V70" s="1066"/>
      <c r="W70" s="2644"/>
      <c r="X70" s="2643"/>
      <c r="Y70" s="2643"/>
      <c r="Z70" s="2643"/>
      <c r="AA70" s="2643"/>
      <c r="AB70" s="2643"/>
      <c r="AC70" s="2643"/>
      <c r="AD70" s="2643"/>
      <c r="AE70" s="107"/>
      <c r="AF70" s="2646"/>
      <c r="AG70" s="2645"/>
      <c r="AH70" s="248" t="s">
        <v>539</v>
      </c>
      <c r="AI70" s="232" t="s">
        <v>409</v>
      </c>
      <c r="AJ70" s="232" t="s">
        <v>56</v>
      </c>
      <c r="AK70" s="231" t="s">
        <v>396</v>
      </c>
      <c r="AL70" s="249">
        <v>75</v>
      </c>
      <c r="AM70" s="233">
        <v>80</v>
      </c>
      <c r="AN70" s="234">
        <f t="shared" si="14"/>
        <v>77.5</v>
      </c>
      <c r="AO70" s="226" t="s">
        <v>416</v>
      </c>
      <c r="AP70" s="235">
        <f t="shared" si="7"/>
        <v>18.333333333333336</v>
      </c>
      <c r="AQ70" s="242">
        <f t="shared" si="7"/>
        <v>21.111111111111114</v>
      </c>
      <c r="AR70" s="243">
        <v>65</v>
      </c>
      <c r="AS70" s="236">
        <v>70</v>
      </c>
    </row>
    <row r="71" spans="1:45" ht="14.1" customHeight="1">
      <c r="A71" s="5394" t="s">
        <v>338</v>
      </c>
      <c r="B71" s="250" t="s">
        <v>473</v>
      </c>
      <c r="C71" s="264">
        <v>310</v>
      </c>
      <c r="D71" s="262" t="s">
        <v>412</v>
      </c>
      <c r="E71" s="250">
        <v>10</v>
      </c>
      <c r="F71" s="250">
        <v>100</v>
      </c>
      <c r="G71" s="3740">
        <f t="shared" si="12"/>
        <v>10</v>
      </c>
      <c r="H71" s="155"/>
      <c r="I71" s="5389"/>
      <c r="J71" s="1062" t="s">
        <v>525</v>
      </c>
      <c r="K71" s="1062"/>
      <c r="L71" s="1063" t="s">
        <v>412</v>
      </c>
      <c r="M71" s="1067"/>
      <c r="N71" s="1062"/>
      <c r="O71" s="3735">
        <f t="shared" si="13"/>
        <v>0</v>
      </c>
      <c r="P71" s="1064"/>
      <c r="Q71" s="1064"/>
      <c r="R71" s="1064"/>
      <c r="S71" s="1064"/>
      <c r="T71" s="1064"/>
      <c r="U71" s="1064"/>
      <c r="V71" s="1066"/>
      <c r="W71" s="2644"/>
      <c r="X71" s="2643"/>
      <c r="Y71" s="2643"/>
      <c r="Z71" s="2643"/>
      <c r="AA71" s="2643"/>
      <c r="AB71" s="2643"/>
      <c r="AC71" s="2643"/>
      <c r="AD71" s="2643"/>
      <c r="AE71" s="107"/>
      <c r="AF71" s="2647"/>
      <c r="AG71" s="2648"/>
      <c r="AH71" s="231" t="s">
        <v>540</v>
      </c>
      <c r="AI71" s="231" t="s">
        <v>395</v>
      </c>
      <c r="AJ71" s="232" t="s">
        <v>56</v>
      </c>
      <c r="AK71" s="231" t="s">
        <v>396</v>
      </c>
      <c r="AL71" s="249">
        <v>75</v>
      </c>
      <c r="AM71" s="233">
        <v>80</v>
      </c>
      <c r="AN71" s="234">
        <f t="shared" si="14"/>
        <v>77.5</v>
      </c>
      <c r="AO71" s="226" t="s">
        <v>397</v>
      </c>
      <c r="AP71" s="235">
        <f t="shared" si="7"/>
        <v>10</v>
      </c>
      <c r="AQ71" s="235">
        <f t="shared" si="7"/>
        <v>12.777777777777779</v>
      </c>
      <c r="AR71" s="236">
        <v>50</v>
      </c>
      <c r="AS71" s="236">
        <v>55</v>
      </c>
    </row>
    <row r="72" spans="1:45" ht="14.1" customHeight="1">
      <c r="A72" s="5394"/>
      <c r="B72" s="250" t="s">
        <v>476</v>
      </c>
      <c r="C72" s="264">
        <v>365</v>
      </c>
      <c r="D72" s="262" t="s">
        <v>412</v>
      </c>
      <c r="E72" s="250">
        <v>11</v>
      </c>
      <c r="F72" s="250">
        <v>100</v>
      </c>
      <c r="G72" s="3740">
        <f t="shared" si="12"/>
        <v>11</v>
      </c>
      <c r="H72" s="155"/>
      <c r="I72" s="5389"/>
      <c r="J72" s="1062" t="s">
        <v>525</v>
      </c>
      <c r="K72" s="1062"/>
      <c r="L72" s="1063" t="s">
        <v>412</v>
      </c>
      <c r="M72" s="1067"/>
      <c r="N72" s="1062"/>
      <c r="O72" s="3735">
        <f t="shared" si="13"/>
        <v>0</v>
      </c>
      <c r="P72" s="1064"/>
      <c r="Q72" s="1064"/>
      <c r="R72" s="1064"/>
      <c r="S72" s="1064"/>
      <c r="T72" s="1064"/>
      <c r="U72" s="1064"/>
      <c r="V72" s="1066"/>
      <c r="W72" s="2644"/>
      <c r="X72" s="2643"/>
      <c r="Y72" s="2643"/>
      <c r="Z72" s="3854" t="s">
        <v>1947</v>
      </c>
      <c r="AA72" s="2643"/>
      <c r="AB72" s="2643"/>
      <c r="AC72" s="2643"/>
      <c r="AD72" s="2643"/>
      <c r="AE72" s="107"/>
      <c r="AF72" s="2647"/>
      <c r="AG72" s="2648"/>
      <c r="AH72" s="231" t="s">
        <v>541</v>
      </c>
      <c r="AI72" s="231" t="s">
        <v>418</v>
      </c>
      <c r="AJ72" s="232" t="s">
        <v>56</v>
      </c>
      <c r="AK72" s="231" t="s">
        <v>404</v>
      </c>
      <c r="AL72" s="233">
        <v>70</v>
      </c>
      <c r="AM72" s="233">
        <v>74</v>
      </c>
      <c r="AN72" s="234">
        <f t="shared" si="14"/>
        <v>72</v>
      </c>
      <c r="AO72" s="247">
        <v>9</v>
      </c>
      <c r="AP72" s="235">
        <f t="shared" si="7"/>
        <v>10</v>
      </c>
      <c r="AQ72" s="235">
        <f t="shared" si="7"/>
        <v>14.444444444444443</v>
      </c>
      <c r="AR72" s="236">
        <v>50</v>
      </c>
      <c r="AS72" s="236">
        <v>58</v>
      </c>
    </row>
    <row r="73" spans="1:45" ht="14.1" customHeight="1">
      <c r="A73" s="5394"/>
      <c r="B73" s="250" t="s">
        <v>542</v>
      </c>
      <c r="C73" s="264">
        <v>365</v>
      </c>
      <c r="D73" s="262" t="s">
        <v>412</v>
      </c>
      <c r="E73" s="263">
        <v>6</v>
      </c>
      <c r="F73" s="250">
        <v>100</v>
      </c>
      <c r="G73" s="3740">
        <f t="shared" si="12"/>
        <v>6</v>
      </c>
      <c r="H73" s="155"/>
      <c r="I73" s="5389"/>
      <c r="J73" s="1062" t="s">
        <v>525</v>
      </c>
      <c r="K73" s="1062"/>
      <c r="L73" s="1063" t="s">
        <v>412</v>
      </c>
      <c r="M73" s="1067"/>
      <c r="N73" s="1062"/>
      <c r="O73" s="3735">
        <f t="shared" si="13"/>
        <v>0</v>
      </c>
      <c r="P73" s="1064"/>
      <c r="Q73" s="1064"/>
      <c r="R73" s="1064"/>
      <c r="S73" s="1064"/>
      <c r="T73" s="1064"/>
      <c r="U73" s="1064"/>
      <c r="V73" s="1066"/>
      <c r="W73" s="2644"/>
      <c r="X73" s="2643"/>
      <c r="Y73" s="2643"/>
      <c r="Z73" s="2643"/>
      <c r="AA73" s="2643"/>
      <c r="AB73" s="2643"/>
      <c r="AC73" s="2643"/>
      <c r="AD73" s="2643"/>
      <c r="AE73" s="107"/>
      <c r="AF73" s="107"/>
      <c r="AG73" s="2645"/>
      <c r="AH73" s="231" t="s">
        <v>543</v>
      </c>
      <c r="AI73" s="231" t="s">
        <v>418</v>
      </c>
      <c r="AJ73" s="232" t="s">
        <v>56</v>
      </c>
      <c r="AK73" s="231" t="s">
        <v>414</v>
      </c>
      <c r="AL73" s="233">
        <v>73</v>
      </c>
      <c r="AM73" s="233">
        <v>77</v>
      </c>
      <c r="AN73" s="234">
        <f t="shared" si="14"/>
        <v>75</v>
      </c>
      <c r="AO73" s="247">
        <v>9</v>
      </c>
      <c r="AP73" s="235">
        <f t="shared" ref="AP73:AQ104" si="15">((AR73+40)*5/9)-40</f>
        <v>7.7777777777777786</v>
      </c>
      <c r="AQ73" s="235">
        <f t="shared" si="15"/>
        <v>13.333333333333336</v>
      </c>
      <c r="AR73" s="236">
        <v>46</v>
      </c>
      <c r="AS73" s="236">
        <v>56</v>
      </c>
    </row>
    <row r="74" spans="1:45" ht="14.1" customHeight="1">
      <c r="A74" s="5395" t="s">
        <v>128</v>
      </c>
      <c r="B74" s="244" t="s">
        <v>260</v>
      </c>
      <c r="C74" s="244">
        <v>265</v>
      </c>
      <c r="D74" s="262" t="s">
        <v>412</v>
      </c>
      <c r="E74" s="244">
        <v>1280</v>
      </c>
      <c r="F74" s="244">
        <v>71</v>
      </c>
      <c r="G74" s="3740">
        <f t="shared" si="12"/>
        <v>908.8</v>
      </c>
      <c r="H74" s="155"/>
      <c r="I74" s="5389"/>
      <c r="J74" s="1062" t="s">
        <v>525</v>
      </c>
      <c r="K74" s="1062"/>
      <c r="L74" s="1063" t="s">
        <v>412</v>
      </c>
      <c r="M74" s="1067"/>
      <c r="N74" s="1062"/>
      <c r="O74" s="3735">
        <f t="shared" si="13"/>
        <v>0</v>
      </c>
      <c r="P74" s="1064"/>
      <c r="Q74" s="1064"/>
      <c r="R74" s="1064"/>
      <c r="S74" s="1064"/>
      <c r="T74" s="1064"/>
      <c r="U74" s="1064"/>
      <c r="V74" s="1066"/>
      <c r="W74" s="2644"/>
      <c r="X74" s="2643"/>
      <c r="Y74" s="2643"/>
      <c r="Z74" s="2643"/>
      <c r="AA74" s="2643"/>
      <c r="AB74" s="2643"/>
      <c r="AC74" s="2643"/>
      <c r="AD74" s="2643"/>
      <c r="AE74" s="107"/>
      <c r="AF74" s="107"/>
      <c r="AG74" s="2645"/>
      <c r="AH74" s="231" t="s">
        <v>544</v>
      </c>
      <c r="AI74" s="231" t="s">
        <v>395</v>
      </c>
      <c r="AJ74" s="232" t="s">
        <v>56</v>
      </c>
      <c r="AK74" s="231" t="s">
        <v>391</v>
      </c>
      <c r="AL74" s="233">
        <v>70</v>
      </c>
      <c r="AM74" s="233">
        <v>80</v>
      </c>
      <c r="AN74" s="234">
        <f t="shared" si="14"/>
        <v>75</v>
      </c>
      <c r="AO74" s="226" t="s">
        <v>416</v>
      </c>
      <c r="AP74" s="235">
        <f t="shared" si="15"/>
        <v>18.333333333333336</v>
      </c>
      <c r="AQ74" s="235">
        <f t="shared" si="15"/>
        <v>21.111111111111114</v>
      </c>
      <c r="AR74" s="236">
        <v>65</v>
      </c>
      <c r="AS74" s="236">
        <v>70</v>
      </c>
    </row>
    <row r="75" spans="1:45" ht="14.1" customHeight="1">
      <c r="A75" s="5395"/>
      <c r="B75" s="250" t="s">
        <v>265</v>
      </c>
      <c r="C75" s="250">
        <v>265</v>
      </c>
      <c r="D75" s="262" t="s">
        <v>412</v>
      </c>
      <c r="E75" s="250">
        <v>1060</v>
      </c>
      <c r="F75" s="244">
        <v>72</v>
      </c>
      <c r="G75" s="3740">
        <f t="shared" si="12"/>
        <v>763.2</v>
      </c>
      <c r="H75" s="155"/>
      <c r="I75" s="5389"/>
      <c r="J75" s="1062" t="s">
        <v>525</v>
      </c>
      <c r="K75" s="1062"/>
      <c r="L75" s="1063" t="s">
        <v>412</v>
      </c>
      <c r="M75" s="1067"/>
      <c r="N75" s="1062"/>
      <c r="O75" s="3735">
        <f t="shared" si="13"/>
        <v>0</v>
      </c>
      <c r="P75" s="1064"/>
      <c r="Q75" s="1064"/>
      <c r="R75" s="1064"/>
      <c r="S75" s="1064"/>
      <c r="T75" s="1064"/>
      <c r="U75" s="1064"/>
      <c r="V75" s="1066"/>
      <c r="W75" s="2644"/>
      <c r="X75" s="2643"/>
      <c r="Y75" s="2643"/>
      <c r="Z75" s="2643"/>
      <c r="AA75" s="2643"/>
      <c r="AB75" s="2643"/>
      <c r="AC75" s="2643"/>
      <c r="AD75" s="2643"/>
      <c r="AE75" s="107"/>
      <c r="AF75" s="107"/>
      <c r="AG75" s="2645"/>
      <c r="AH75" s="231" t="s">
        <v>545</v>
      </c>
      <c r="AI75" s="231" t="s">
        <v>395</v>
      </c>
      <c r="AJ75" s="232" t="s">
        <v>56</v>
      </c>
      <c r="AK75" s="231" t="s">
        <v>396</v>
      </c>
      <c r="AL75" s="233">
        <v>65</v>
      </c>
      <c r="AM75" s="233">
        <v>72</v>
      </c>
      <c r="AN75" s="234">
        <f t="shared" si="14"/>
        <v>68.5</v>
      </c>
      <c r="AO75" s="226" t="s">
        <v>397</v>
      </c>
      <c r="AP75" s="235">
        <f t="shared" si="15"/>
        <v>18.333333333333336</v>
      </c>
      <c r="AQ75" s="235">
        <f t="shared" si="15"/>
        <v>20.555555555555557</v>
      </c>
      <c r="AR75" s="236">
        <v>65</v>
      </c>
      <c r="AS75" s="236">
        <v>69</v>
      </c>
    </row>
    <row r="76" spans="1:45" ht="14.1" customHeight="1">
      <c r="A76" s="5395"/>
      <c r="B76" s="250" t="s">
        <v>269</v>
      </c>
      <c r="C76" s="250">
        <v>265</v>
      </c>
      <c r="D76" s="262" t="s">
        <v>412</v>
      </c>
      <c r="E76" s="250">
        <v>105</v>
      </c>
      <c r="F76" s="244">
        <v>74</v>
      </c>
      <c r="G76" s="3740">
        <f t="shared" si="12"/>
        <v>77.7</v>
      </c>
      <c r="H76" s="155"/>
      <c r="I76" s="5389"/>
      <c r="J76" s="1062" t="s">
        <v>525</v>
      </c>
      <c r="K76" s="1062"/>
      <c r="L76" s="1063" t="s">
        <v>412</v>
      </c>
      <c r="M76" s="1067"/>
      <c r="N76" s="1062"/>
      <c r="O76" s="3735">
        <f t="shared" si="13"/>
        <v>0</v>
      </c>
      <c r="P76" s="1064"/>
      <c r="Q76" s="1064"/>
      <c r="R76" s="1064"/>
      <c r="S76" s="1064"/>
      <c r="T76" s="1064"/>
      <c r="U76" s="1064"/>
      <c r="V76" s="1066"/>
      <c r="W76" s="2644"/>
      <c r="X76" s="2643"/>
      <c r="Y76" s="2643"/>
      <c r="Z76" s="2643"/>
      <c r="AA76" s="2643"/>
      <c r="AB76" s="2643"/>
      <c r="AC76" s="2643"/>
      <c r="AD76" s="2643"/>
      <c r="AE76" s="107"/>
      <c r="AF76" s="107"/>
      <c r="AG76" s="2645"/>
      <c r="AH76" s="231" t="s">
        <v>546</v>
      </c>
      <c r="AI76" s="231" t="s">
        <v>418</v>
      </c>
      <c r="AJ76" s="232" t="s">
        <v>56</v>
      </c>
      <c r="AK76" s="231" t="s">
        <v>396</v>
      </c>
      <c r="AL76" s="233">
        <v>74</v>
      </c>
      <c r="AM76" s="233">
        <v>79</v>
      </c>
      <c r="AN76" s="234">
        <f t="shared" si="14"/>
        <v>76.5</v>
      </c>
      <c r="AO76" s="247">
        <v>12</v>
      </c>
      <c r="AP76" s="235">
        <f t="shared" si="15"/>
        <v>18.333333333333336</v>
      </c>
      <c r="AQ76" s="235">
        <f t="shared" si="15"/>
        <v>26.666666666666671</v>
      </c>
      <c r="AR76" s="236">
        <v>65</v>
      </c>
      <c r="AS76" s="236">
        <v>80</v>
      </c>
    </row>
    <row r="77" spans="1:45" ht="14.1" customHeight="1">
      <c r="A77" s="5395"/>
      <c r="B77" s="250" t="s">
        <v>270</v>
      </c>
      <c r="C77" s="250">
        <v>265</v>
      </c>
      <c r="D77" s="262" t="s">
        <v>412</v>
      </c>
      <c r="E77" s="250">
        <v>140</v>
      </c>
      <c r="F77" s="244">
        <v>74</v>
      </c>
      <c r="G77" s="3740">
        <f t="shared" si="12"/>
        <v>103.6</v>
      </c>
      <c r="H77" s="155"/>
      <c r="I77" s="5389"/>
      <c r="J77" s="1062" t="s">
        <v>525</v>
      </c>
      <c r="K77" s="1062"/>
      <c r="L77" s="1063" t="s">
        <v>412</v>
      </c>
      <c r="M77" s="1067"/>
      <c r="N77" s="1062"/>
      <c r="O77" s="3735">
        <f t="shared" si="13"/>
        <v>0</v>
      </c>
      <c r="P77" s="1064"/>
      <c r="Q77" s="1064"/>
      <c r="R77" s="1064"/>
      <c r="S77" s="1064"/>
      <c r="T77" s="1064"/>
      <c r="U77" s="1064"/>
      <c r="V77" s="1066"/>
      <c r="W77" s="2644"/>
      <c r="X77" s="2643"/>
      <c r="Y77" s="2643"/>
      <c r="Z77" s="2643"/>
      <c r="AA77" s="2643"/>
      <c r="AB77" s="2643"/>
      <c r="AC77" s="2643"/>
      <c r="AD77" s="2643"/>
      <c r="AE77" s="107"/>
      <c r="AF77" s="107"/>
      <c r="AG77" s="2645"/>
      <c r="AH77" s="231" t="s">
        <v>548</v>
      </c>
      <c r="AI77" s="231" t="s">
        <v>395</v>
      </c>
      <c r="AJ77" s="232" t="s">
        <v>56</v>
      </c>
      <c r="AK77" s="231" t="s">
        <v>419</v>
      </c>
      <c r="AL77" s="233">
        <v>70</v>
      </c>
      <c r="AM77" s="233">
        <v>75</v>
      </c>
      <c r="AN77" s="234">
        <f t="shared" si="14"/>
        <v>72.5</v>
      </c>
      <c r="AO77" s="226" t="s">
        <v>397</v>
      </c>
      <c r="AP77" s="235">
        <f t="shared" si="15"/>
        <v>20</v>
      </c>
      <c r="AQ77" s="235">
        <f t="shared" si="15"/>
        <v>22.777777777777779</v>
      </c>
      <c r="AR77" s="236">
        <v>68</v>
      </c>
      <c r="AS77" s="236">
        <v>73</v>
      </c>
    </row>
    <row r="78" spans="1:45" ht="14.1" customHeight="1">
      <c r="A78" s="5395"/>
      <c r="B78" s="250" t="s">
        <v>267</v>
      </c>
      <c r="C78" s="250">
        <v>265</v>
      </c>
      <c r="D78" s="262" t="s">
        <v>412</v>
      </c>
      <c r="E78" s="250">
        <v>200</v>
      </c>
      <c r="F78" s="244">
        <v>74</v>
      </c>
      <c r="G78" s="3740">
        <f t="shared" si="12"/>
        <v>148</v>
      </c>
      <c r="H78" s="155"/>
      <c r="I78" s="5389"/>
      <c r="J78" s="1062" t="s">
        <v>525</v>
      </c>
      <c r="K78" s="1062"/>
      <c r="L78" s="1063" t="s">
        <v>412</v>
      </c>
      <c r="M78" s="1067"/>
      <c r="N78" s="1062"/>
      <c r="O78" s="3735">
        <f>(N78*M78)/100</f>
        <v>0</v>
      </c>
      <c r="P78" s="1064"/>
      <c r="Q78" s="1064"/>
      <c r="R78" s="1064"/>
      <c r="S78" s="1064"/>
      <c r="T78" s="1064"/>
      <c r="U78" s="1064"/>
      <c r="V78" s="1066"/>
      <c r="W78" s="2644"/>
      <c r="X78" s="2643"/>
      <c r="Y78" s="2643"/>
      <c r="Z78" s="2643"/>
      <c r="AA78" s="2643"/>
      <c r="AB78" s="2643"/>
      <c r="AC78" s="2643"/>
      <c r="AD78" s="2643"/>
      <c r="AE78" s="107"/>
      <c r="AF78" s="107"/>
      <c r="AG78" s="2645"/>
      <c r="AH78" s="248" t="s">
        <v>549</v>
      </c>
      <c r="AI78" s="232" t="s">
        <v>409</v>
      </c>
      <c r="AJ78" s="232" t="s">
        <v>56</v>
      </c>
      <c r="AK78" s="231" t="s">
        <v>404</v>
      </c>
      <c r="AL78" s="249">
        <v>73</v>
      </c>
      <c r="AM78" s="233">
        <v>82</v>
      </c>
      <c r="AN78" s="234">
        <f t="shared" si="14"/>
        <v>77.5</v>
      </c>
      <c r="AO78" s="226" t="s">
        <v>397</v>
      </c>
      <c r="AP78" s="235">
        <f t="shared" si="15"/>
        <v>18.888888888888886</v>
      </c>
      <c r="AQ78" s="242">
        <f t="shared" si="15"/>
        <v>21.111111111111114</v>
      </c>
      <c r="AR78" s="243">
        <v>66</v>
      </c>
      <c r="AS78" s="236">
        <v>70</v>
      </c>
    </row>
    <row r="79" spans="1:45" ht="14.1" customHeight="1">
      <c r="A79" s="5395"/>
      <c r="B79" s="250" t="s">
        <v>262</v>
      </c>
      <c r="C79" s="244">
        <v>265</v>
      </c>
      <c r="D79" s="262" t="s">
        <v>412</v>
      </c>
      <c r="E79" s="281">
        <v>25</v>
      </c>
      <c r="F79" s="250">
        <v>71</v>
      </c>
      <c r="G79" s="3740">
        <f t="shared" si="12"/>
        <v>17.75</v>
      </c>
      <c r="H79" s="155"/>
      <c r="I79" s="5389"/>
      <c r="J79" s="5461" t="s">
        <v>642</v>
      </c>
      <c r="K79" s="5461"/>
      <c r="L79" s="5461"/>
      <c r="M79" s="5461"/>
      <c r="N79" s="5461"/>
      <c r="O79" s="5461"/>
      <c r="P79" s="5461"/>
      <c r="Q79" s="5461"/>
      <c r="R79" s="5461"/>
      <c r="S79" s="5461"/>
      <c r="T79" s="5461"/>
      <c r="U79" s="5461"/>
      <c r="V79" s="1066"/>
      <c r="W79" s="2644"/>
      <c r="X79" s="2643"/>
      <c r="Y79" s="2643"/>
      <c r="Z79" s="2643"/>
      <c r="AA79" s="2643"/>
      <c r="AB79" s="2643"/>
      <c r="AC79" s="2643"/>
      <c r="AD79" s="2643"/>
      <c r="AE79" s="107"/>
      <c r="AF79" s="107"/>
      <c r="AG79" s="2645"/>
      <c r="AH79" s="248" t="s">
        <v>551</v>
      </c>
      <c r="AI79" s="232" t="s">
        <v>409</v>
      </c>
      <c r="AJ79" s="232" t="s">
        <v>56</v>
      </c>
      <c r="AK79" s="231" t="s">
        <v>396</v>
      </c>
      <c r="AL79" s="249">
        <v>70</v>
      </c>
      <c r="AM79" s="233">
        <v>75</v>
      </c>
      <c r="AN79" s="234">
        <f t="shared" si="14"/>
        <v>72.5</v>
      </c>
      <c r="AO79" s="226" t="s">
        <v>397</v>
      </c>
      <c r="AP79" s="235">
        <f t="shared" si="15"/>
        <v>18.333333333333336</v>
      </c>
      <c r="AQ79" s="242">
        <f t="shared" si="15"/>
        <v>21.111111111111114</v>
      </c>
      <c r="AR79" s="243">
        <v>65</v>
      </c>
      <c r="AS79" s="236">
        <v>70</v>
      </c>
    </row>
    <row r="80" spans="1:45" ht="14.1" customHeight="1">
      <c r="A80" s="5395"/>
      <c r="B80" s="250" t="s">
        <v>552</v>
      </c>
      <c r="C80" s="244">
        <v>265</v>
      </c>
      <c r="D80" s="262" t="s">
        <v>412</v>
      </c>
      <c r="E80" s="281">
        <v>12</v>
      </c>
      <c r="F80" s="250">
        <v>71</v>
      </c>
      <c r="G80" s="3740">
        <f t="shared" si="12"/>
        <v>8.52</v>
      </c>
      <c r="H80" s="155"/>
      <c r="I80" s="5389"/>
      <c r="J80" s="5461"/>
      <c r="K80" s="5461"/>
      <c r="L80" s="5461"/>
      <c r="M80" s="5461"/>
      <c r="N80" s="5461"/>
      <c r="O80" s="5461"/>
      <c r="P80" s="5461"/>
      <c r="Q80" s="5461"/>
      <c r="R80" s="5461"/>
      <c r="S80" s="5461"/>
      <c r="T80" s="5461"/>
      <c r="U80" s="5461"/>
      <c r="V80" s="1066"/>
      <c r="W80" s="2644"/>
      <c r="X80" s="2643"/>
      <c r="Y80" s="2643"/>
      <c r="Z80" s="2643"/>
      <c r="AA80" s="2643"/>
      <c r="AB80" s="2643"/>
      <c r="AC80" s="2643"/>
      <c r="AD80" s="2643"/>
      <c r="AE80" s="107"/>
      <c r="AF80" s="107"/>
      <c r="AG80" s="2645"/>
      <c r="AH80" s="231" t="s">
        <v>554</v>
      </c>
      <c r="AI80" s="231" t="s">
        <v>411</v>
      </c>
      <c r="AJ80" s="232" t="s">
        <v>56</v>
      </c>
      <c r="AK80" s="231" t="s">
        <v>396</v>
      </c>
      <c r="AL80" s="245"/>
      <c r="AM80" s="245"/>
      <c r="AN80" s="246" t="s">
        <v>391</v>
      </c>
      <c r="AO80" s="247" t="s">
        <v>412</v>
      </c>
      <c r="AP80" s="235">
        <f t="shared" si="15"/>
        <v>15</v>
      </c>
      <c r="AQ80" s="235">
        <f t="shared" si="15"/>
        <v>20</v>
      </c>
      <c r="AR80" s="236">
        <v>59</v>
      </c>
      <c r="AS80" s="236">
        <v>68</v>
      </c>
    </row>
    <row r="81" spans="1:45" ht="14.1" customHeight="1">
      <c r="A81" s="5395"/>
      <c r="B81" s="250" t="s">
        <v>264</v>
      </c>
      <c r="C81" s="244">
        <v>265</v>
      </c>
      <c r="D81" s="262" t="s">
        <v>412</v>
      </c>
      <c r="E81" s="281">
        <v>10</v>
      </c>
      <c r="F81" s="250">
        <v>71</v>
      </c>
      <c r="G81" s="3740">
        <f t="shared" si="12"/>
        <v>7.1</v>
      </c>
      <c r="H81" s="155"/>
      <c r="I81" s="5389"/>
      <c r="J81" s="5461"/>
      <c r="K81" s="5461"/>
      <c r="L81" s="5461"/>
      <c r="M81" s="5461"/>
      <c r="N81" s="5461"/>
      <c r="O81" s="5461"/>
      <c r="P81" s="5461"/>
      <c r="Q81" s="5461"/>
      <c r="R81" s="5461"/>
      <c r="S81" s="5461"/>
      <c r="T81" s="5461"/>
      <c r="U81" s="5461"/>
      <c r="V81" s="1066"/>
      <c r="W81" s="2644"/>
      <c r="X81" s="2643"/>
      <c r="Y81" s="2643"/>
      <c r="Z81" s="2643"/>
      <c r="AA81" s="2643"/>
      <c r="AB81" s="2643"/>
      <c r="AC81" s="2643"/>
      <c r="AD81" s="2643"/>
      <c r="AE81" s="107"/>
      <c r="AF81" s="107"/>
      <c r="AG81" s="2645"/>
      <c r="AH81" s="231" t="s">
        <v>557</v>
      </c>
      <c r="AI81" s="231" t="s">
        <v>395</v>
      </c>
      <c r="AJ81" s="232" t="s">
        <v>56</v>
      </c>
      <c r="AK81" s="231" t="s">
        <v>558</v>
      </c>
      <c r="AL81" s="233">
        <v>63</v>
      </c>
      <c r="AM81" s="233">
        <v>70</v>
      </c>
      <c r="AN81" s="234">
        <f t="shared" ref="AN81:AN101" si="16">(AL81+AM81)/2</f>
        <v>66.5</v>
      </c>
      <c r="AO81" s="226" t="s">
        <v>397</v>
      </c>
      <c r="AP81" s="235">
        <f t="shared" si="15"/>
        <v>18.333333333333336</v>
      </c>
      <c r="AQ81" s="235">
        <f t="shared" si="15"/>
        <v>20</v>
      </c>
      <c r="AR81" s="236">
        <v>65</v>
      </c>
      <c r="AS81" s="236">
        <v>68</v>
      </c>
    </row>
    <row r="82" spans="1:45" ht="14.1" customHeight="1">
      <c r="A82" s="5395"/>
      <c r="B82" s="250" t="s">
        <v>271</v>
      </c>
      <c r="C82" s="250">
        <v>265</v>
      </c>
      <c r="D82" s="262" t="s">
        <v>412</v>
      </c>
      <c r="E82" s="250">
        <v>1220</v>
      </c>
      <c r="F82" s="244">
        <v>74</v>
      </c>
      <c r="G82" s="3740">
        <f t="shared" si="12"/>
        <v>902.8</v>
      </c>
      <c r="H82" s="155"/>
      <c r="I82" s="1057"/>
      <c r="J82" s="1064"/>
      <c r="K82" s="1064"/>
      <c r="L82" s="1064"/>
      <c r="M82" s="1064"/>
      <c r="N82" s="1064"/>
      <c r="O82" s="1064"/>
      <c r="P82" s="1064"/>
      <c r="Q82" s="1064"/>
      <c r="R82" s="1064"/>
      <c r="S82" s="1064"/>
      <c r="T82" s="1064"/>
      <c r="U82" s="1064"/>
      <c r="V82" s="1066"/>
      <c r="W82" s="2644"/>
      <c r="X82" s="2643"/>
      <c r="Y82" s="2643"/>
      <c r="Z82" s="2643"/>
      <c r="AA82" s="2643"/>
      <c r="AB82" s="2643"/>
      <c r="AC82" s="2643"/>
      <c r="AD82" s="2643"/>
      <c r="AE82" s="107"/>
      <c r="AF82" s="107"/>
      <c r="AG82" s="2645"/>
      <c r="AH82" s="231" t="s">
        <v>561</v>
      </c>
      <c r="AI82" s="231" t="s">
        <v>418</v>
      </c>
      <c r="AJ82" s="232" t="s">
        <v>56</v>
      </c>
      <c r="AK82" s="231" t="s">
        <v>558</v>
      </c>
      <c r="AL82" s="233">
        <v>68</v>
      </c>
      <c r="AM82" s="233">
        <v>72</v>
      </c>
      <c r="AN82" s="234">
        <f t="shared" si="16"/>
        <v>70</v>
      </c>
      <c r="AO82" s="247">
        <v>10</v>
      </c>
      <c r="AP82" s="235">
        <f t="shared" si="15"/>
        <v>17.777777777777779</v>
      </c>
      <c r="AQ82" s="235">
        <f t="shared" si="15"/>
        <v>22.222222222222221</v>
      </c>
      <c r="AR82" s="236">
        <v>64</v>
      </c>
      <c r="AS82" s="236">
        <v>72</v>
      </c>
    </row>
    <row r="83" spans="1:45" ht="13.35" customHeight="1">
      <c r="A83" s="5396" t="s">
        <v>562</v>
      </c>
      <c r="B83" s="250" t="s">
        <v>274</v>
      </c>
      <c r="C83" s="265">
        <v>375</v>
      </c>
      <c r="D83" s="244">
        <v>1</v>
      </c>
      <c r="E83" s="244">
        <v>0</v>
      </c>
      <c r="F83" s="244">
        <v>100</v>
      </c>
      <c r="G83" s="3740">
        <f t="shared" si="12"/>
        <v>0</v>
      </c>
      <c r="H83" s="155"/>
      <c r="I83" s="5389" t="s">
        <v>530</v>
      </c>
      <c r="J83" s="1062" t="s">
        <v>521</v>
      </c>
      <c r="K83" s="1062">
        <v>260</v>
      </c>
      <c r="L83" s="1063" t="s">
        <v>412</v>
      </c>
      <c r="M83" s="1067">
        <v>2.5</v>
      </c>
      <c r="N83" s="1062">
        <v>71</v>
      </c>
      <c r="O83" s="3735">
        <f t="shared" ref="O83:O98" si="17">(N83*M83)/100</f>
        <v>1.7749999999999999</v>
      </c>
      <c r="P83" s="2635"/>
      <c r="Q83" s="2635"/>
      <c r="R83" s="2635"/>
      <c r="S83" s="2633">
        <v>20</v>
      </c>
      <c r="T83" s="2633">
        <v>26</v>
      </c>
      <c r="U83" s="2633">
        <v>29</v>
      </c>
      <c r="V83" s="1066"/>
      <c r="W83" s="2644"/>
      <c r="X83" s="2643"/>
      <c r="Y83" s="2643"/>
      <c r="Z83" s="2643"/>
      <c r="AA83" s="2643"/>
      <c r="AB83" s="2643"/>
      <c r="AC83" s="2643"/>
      <c r="AD83" s="2643"/>
      <c r="AE83" s="107"/>
      <c r="AF83" s="107"/>
      <c r="AG83" s="2645"/>
      <c r="AH83" s="231" t="s">
        <v>563</v>
      </c>
      <c r="AI83" s="231" t="s">
        <v>395</v>
      </c>
      <c r="AJ83" s="232" t="s">
        <v>56</v>
      </c>
      <c r="AK83" s="231" t="s">
        <v>404</v>
      </c>
      <c r="AL83" s="233">
        <v>71</v>
      </c>
      <c r="AM83" s="233">
        <v>76</v>
      </c>
      <c r="AN83" s="234">
        <f t="shared" si="16"/>
        <v>73.5</v>
      </c>
      <c r="AO83" s="226" t="s">
        <v>397</v>
      </c>
      <c r="AP83" s="235">
        <f t="shared" si="15"/>
        <v>18.888888888888886</v>
      </c>
      <c r="AQ83" s="235">
        <f t="shared" si="15"/>
        <v>21.111111111111114</v>
      </c>
      <c r="AR83" s="236">
        <v>66</v>
      </c>
      <c r="AS83" s="236">
        <v>70</v>
      </c>
    </row>
    <row r="84" spans="1:45" ht="13.35" customHeight="1">
      <c r="A84" s="5396"/>
      <c r="B84" s="250" t="s">
        <v>275</v>
      </c>
      <c r="C84" s="265">
        <v>370</v>
      </c>
      <c r="D84" s="250">
        <v>1</v>
      </c>
      <c r="E84" s="250">
        <v>16</v>
      </c>
      <c r="F84" s="244">
        <v>100</v>
      </c>
      <c r="G84" s="3740">
        <f t="shared" si="12"/>
        <v>16</v>
      </c>
      <c r="H84" s="155"/>
      <c r="I84" s="5389"/>
      <c r="J84" s="1062" t="s">
        <v>523</v>
      </c>
      <c r="K84" s="1062">
        <v>310</v>
      </c>
      <c r="L84" s="1063" t="s">
        <v>412</v>
      </c>
      <c r="M84" s="1067">
        <v>1</v>
      </c>
      <c r="N84" s="1062">
        <v>71</v>
      </c>
      <c r="O84" s="3735">
        <f t="shared" si="17"/>
        <v>0.71</v>
      </c>
      <c r="P84" s="2635"/>
      <c r="Q84" s="2635"/>
      <c r="R84" s="2635"/>
      <c r="S84" s="2636"/>
      <c r="T84" s="2637"/>
      <c r="U84" s="2637"/>
      <c r="V84" s="1066"/>
      <c r="W84" s="2644"/>
      <c r="X84" s="2643"/>
      <c r="Y84" s="2643"/>
      <c r="Z84" s="2643"/>
      <c r="AA84" s="2643"/>
      <c r="AB84" s="2643"/>
      <c r="AC84" s="2643"/>
      <c r="AD84" s="2643"/>
      <c r="AE84" s="107"/>
      <c r="AF84" s="107"/>
      <c r="AG84" s="2645"/>
      <c r="AH84" s="231" t="s">
        <v>565</v>
      </c>
      <c r="AI84" s="231" t="s">
        <v>395</v>
      </c>
      <c r="AJ84" s="232" t="s">
        <v>56</v>
      </c>
      <c r="AK84" s="231" t="s">
        <v>396</v>
      </c>
      <c r="AL84" s="233">
        <v>65</v>
      </c>
      <c r="AM84" s="233">
        <v>70</v>
      </c>
      <c r="AN84" s="234">
        <f t="shared" si="16"/>
        <v>67.5</v>
      </c>
      <c r="AO84" s="226" t="s">
        <v>397</v>
      </c>
      <c r="AP84" s="235">
        <f t="shared" si="15"/>
        <v>18.333333333333336</v>
      </c>
      <c r="AQ84" s="235">
        <f t="shared" si="15"/>
        <v>21.111111111111114</v>
      </c>
      <c r="AR84" s="236">
        <v>65</v>
      </c>
      <c r="AS84" s="236">
        <v>70</v>
      </c>
    </row>
    <row r="85" spans="1:45" ht="13.35" customHeight="1">
      <c r="A85" s="5396"/>
      <c r="B85" s="250" t="s">
        <v>276</v>
      </c>
      <c r="C85" s="265">
        <v>319</v>
      </c>
      <c r="D85" s="250">
        <v>1</v>
      </c>
      <c r="E85" s="250">
        <v>45</v>
      </c>
      <c r="F85" s="244">
        <v>100</v>
      </c>
      <c r="G85" s="3740">
        <f t="shared" si="12"/>
        <v>45</v>
      </c>
      <c r="H85" s="155"/>
      <c r="I85" s="5389"/>
      <c r="J85" s="1062" t="s">
        <v>536</v>
      </c>
      <c r="K85" s="1062">
        <v>310</v>
      </c>
      <c r="L85" s="1063" t="s">
        <v>412</v>
      </c>
      <c r="M85" s="1067">
        <v>2</v>
      </c>
      <c r="N85" s="1062">
        <v>71</v>
      </c>
      <c r="O85" s="3735">
        <f t="shared" si="17"/>
        <v>1.42</v>
      </c>
      <c r="P85" s="2635"/>
      <c r="Q85" s="2635"/>
      <c r="R85" s="2635"/>
      <c r="S85" s="2636"/>
      <c r="T85" s="2637"/>
      <c r="U85" s="2637"/>
      <c r="V85" s="1066"/>
      <c r="W85" s="2644"/>
      <c r="X85" s="2643"/>
      <c r="Y85" s="2643"/>
      <c r="Z85" s="2643"/>
      <c r="AA85" s="2643"/>
      <c r="AB85" s="2643"/>
      <c r="AC85" s="2643"/>
      <c r="AD85" s="2643"/>
      <c r="AE85" s="107"/>
      <c r="AF85" s="107"/>
      <c r="AG85" s="2645"/>
      <c r="AH85" s="231" t="s">
        <v>567</v>
      </c>
      <c r="AI85" s="231" t="s">
        <v>418</v>
      </c>
      <c r="AJ85" s="232" t="s">
        <v>56</v>
      </c>
      <c r="AK85" s="231" t="s">
        <v>414</v>
      </c>
      <c r="AL85" s="233">
        <v>73</v>
      </c>
      <c r="AM85" s="233">
        <v>77</v>
      </c>
      <c r="AN85" s="234">
        <f t="shared" si="16"/>
        <v>75</v>
      </c>
      <c r="AO85" s="247">
        <v>9</v>
      </c>
      <c r="AP85" s="235">
        <f t="shared" si="15"/>
        <v>7.7777777777777786</v>
      </c>
      <c r="AQ85" s="235">
        <f t="shared" si="15"/>
        <v>13.333333333333336</v>
      </c>
      <c r="AR85" s="236">
        <v>46</v>
      </c>
      <c r="AS85" s="236">
        <v>56</v>
      </c>
    </row>
    <row r="86" spans="1:45" ht="13.35" customHeight="1">
      <c r="A86" s="5396"/>
      <c r="B86" s="1062" t="s">
        <v>1807</v>
      </c>
      <c r="C86" s="1076">
        <v>360</v>
      </c>
      <c r="D86" s="1062">
        <v>0.95</v>
      </c>
      <c r="E86" s="1062"/>
      <c r="F86" s="1062">
        <v>100</v>
      </c>
      <c r="G86" s="3740">
        <f t="shared" si="12"/>
        <v>0</v>
      </c>
      <c r="H86" s="155"/>
      <c r="I86" s="5389"/>
      <c r="J86" s="1062" t="s">
        <v>470</v>
      </c>
      <c r="K86" s="1062">
        <v>250</v>
      </c>
      <c r="L86" s="1063" t="s">
        <v>412</v>
      </c>
      <c r="M86" s="1067">
        <v>3</v>
      </c>
      <c r="N86" s="1062">
        <v>71</v>
      </c>
      <c r="O86" s="3735">
        <f t="shared" si="17"/>
        <v>2.13</v>
      </c>
      <c r="P86" s="2635"/>
      <c r="Q86" s="2635"/>
      <c r="R86" s="2635"/>
      <c r="S86" s="2636"/>
      <c r="T86" s="2637"/>
      <c r="U86" s="2637"/>
      <c r="V86" s="1066"/>
      <c r="W86" s="2644"/>
      <c r="X86" s="2643"/>
      <c r="Y86" s="2643"/>
      <c r="Z86" s="2643"/>
      <c r="AA86" s="2643"/>
      <c r="AB86" s="2643"/>
      <c r="AC86" s="2643"/>
      <c r="AD86" s="2643"/>
      <c r="AE86" s="107"/>
      <c r="AF86" s="107"/>
      <c r="AG86" s="2645"/>
      <c r="AH86" s="231" t="s">
        <v>569</v>
      </c>
      <c r="AI86" s="231" t="s">
        <v>418</v>
      </c>
      <c r="AJ86" s="232" t="s">
        <v>56</v>
      </c>
      <c r="AK86" s="231" t="s">
        <v>456</v>
      </c>
      <c r="AL86" s="233">
        <v>74</v>
      </c>
      <c r="AM86" s="233">
        <v>79</v>
      </c>
      <c r="AN86" s="234">
        <f t="shared" si="16"/>
        <v>76.5</v>
      </c>
      <c r="AO86" s="247">
        <v>12</v>
      </c>
      <c r="AP86" s="235">
        <f t="shared" si="15"/>
        <v>23.333333333333336</v>
      </c>
      <c r="AQ86" s="235">
        <f t="shared" si="15"/>
        <v>35</v>
      </c>
      <c r="AR86" s="236">
        <v>74</v>
      </c>
      <c r="AS86" s="236">
        <v>95</v>
      </c>
    </row>
    <row r="87" spans="1:45" ht="13.35" customHeight="1">
      <c r="A87" s="5396"/>
      <c r="B87" s="3565" t="s">
        <v>490</v>
      </c>
      <c r="C87" s="3566">
        <v>380</v>
      </c>
      <c r="D87" s="3567">
        <v>0</v>
      </c>
      <c r="E87" s="3567">
        <v>30</v>
      </c>
      <c r="F87" s="3567">
        <v>100</v>
      </c>
      <c r="G87" s="3740">
        <f t="shared" si="12"/>
        <v>30</v>
      </c>
      <c r="H87" s="155"/>
      <c r="I87" s="5389"/>
      <c r="J87" s="1062" t="s">
        <v>527</v>
      </c>
      <c r="K87" s="1076">
        <v>250</v>
      </c>
      <c r="L87" s="1063" t="s">
        <v>412</v>
      </c>
      <c r="M87" s="1067">
        <v>1.5</v>
      </c>
      <c r="N87" s="1062">
        <v>71</v>
      </c>
      <c r="O87" s="3735">
        <f t="shared" si="17"/>
        <v>1.0649999999999999</v>
      </c>
      <c r="P87" s="2635"/>
      <c r="Q87" s="1077"/>
      <c r="R87" s="1077"/>
      <c r="S87" s="1077"/>
      <c r="T87" s="2633"/>
      <c r="U87" s="2636"/>
      <c r="V87" s="1066"/>
      <c r="W87" s="2644"/>
      <c r="X87" s="2643"/>
      <c r="Y87" s="2643"/>
      <c r="Z87" s="2643"/>
      <c r="AA87" s="2643"/>
      <c r="AB87" s="2643"/>
      <c r="AC87" s="2643"/>
      <c r="AD87" s="2643"/>
      <c r="AE87" s="107"/>
      <c r="AF87" s="107"/>
      <c r="AG87" s="2645"/>
      <c r="AH87" s="231" t="s">
        <v>570</v>
      </c>
      <c r="AI87" s="231" t="s">
        <v>418</v>
      </c>
      <c r="AJ87" s="232" t="s">
        <v>56</v>
      </c>
      <c r="AK87" s="231" t="s">
        <v>414</v>
      </c>
      <c r="AL87" s="233">
        <v>72</v>
      </c>
      <c r="AM87" s="233">
        <v>76</v>
      </c>
      <c r="AN87" s="234">
        <f t="shared" si="16"/>
        <v>74</v>
      </c>
      <c r="AO87" s="247">
        <v>12</v>
      </c>
      <c r="AP87" s="235">
        <f t="shared" si="15"/>
        <v>17.222222222222221</v>
      </c>
      <c r="AQ87" s="235">
        <f t="shared" si="15"/>
        <v>24.444444444444443</v>
      </c>
      <c r="AR87" s="236">
        <v>63</v>
      </c>
      <c r="AS87" s="236">
        <v>76</v>
      </c>
    </row>
    <row r="88" spans="1:45" ht="14.1" customHeight="1">
      <c r="A88" s="272"/>
      <c r="B88" s="282"/>
      <c r="C88" s="283"/>
      <c r="D88" s="284"/>
      <c r="E88" s="284"/>
      <c r="F88" s="285"/>
      <c r="G88" s="286"/>
      <c r="H88" s="155"/>
      <c r="I88" s="5389"/>
      <c r="J88" s="419" t="s">
        <v>529</v>
      </c>
      <c r="K88" s="419">
        <v>288</v>
      </c>
      <c r="L88" s="1063" t="s">
        <v>412</v>
      </c>
      <c r="M88" s="1078">
        <v>4</v>
      </c>
      <c r="N88" s="419">
        <v>71</v>
      </c>
      <c r="O88" s="3735">
        <f t="shared" si="17"/>
        <v>2.84</v>
      </c>
      <c r="P88" s="2635"/>
      <c r="Q88" s="2635"/>
      <c r="R88" s="2635"/>
      <c r="S88" s="2636"/>
      <c r="T88" s="2636"/>
      <c r="U88" s="2636"/>
      <c r="V88" s="1066"/>
      <c r="W88" s="2644"/>
      <c r="X88" s="2643"/>
      <c r="Y88" s="2643"/>
      <c r="Z88" s="2643"/>
      <c r="AA88" s="2643"/>
      <c r="AB88" s="2643"/>
      <c r="AC88" s="2643"/>
      <c r="AD88" s="2644"/>
      <c r="AE88" s="107"/>
      <c r="AF88" s="107"/>
      <c r="AG88" s="2644"/>
      <c r="AH88" s="248" t="s">
        <v>571</v>
      </c>
      <c r="AI88" s="232" t="s">
        <v>409</v>
      </c>
      <c r="AJ88" s="232" t="s">
        <v>56</v>
      </c>
      <c r="AK88" s="231" t="s">
        <v>404</v>
      </c>
      <c r="AL88" s="249">
        <v>68</v>
      </c>
      <c r="AM88" s="233">
        <v>75</v>
      </c>
      <c r="AN88" s="234">
        <f t="shared" si="16"/>
        <v>71.5</v>
      </c>
      <c r="AO88" s="247" t="s">
        <v>412</v>
      </c>
      <c r="AP88" s="235">
        <f t="shared" si="15"/>
        <v>17.222222222222221</v>
      </c>
      <c r="AQ88" s="242">
        <f t="shared" si="15"/>
        <v>22.777777777777779</v>
      </c>
      <c r="AR88" s="243">
        <v>63</v>
      </c>
      <c r="AS88" s="236">
        <v>73</v>
      </c>
    </row>
    <row r="89" spans="1:45" ht="14.1" customHeight="1">
      <c r="A89" s="5397" t="s">
        <v>222</v>
      </c>
      <c r="B89" s="5397"/>
      <c r="C89" s="155"/>
      <c r="D89" s="155"/>
      <c r="E89" s="155"/>
      <c r="F89" s="155"/>
      <c r="G89" s="155"/>
      <c r="H89" s="155"/>
      <c r="I89" s="5389"/>
      <c r="J89" s="1062" t="s">
        <v>532</v>
      </c>
      <c r="K89" s="1062">
        <v>173</v>
      </c>
      <c r="L89" s="1063" t="s">
        <v>412</v>
      </c>
      <c r="M89" s="1067"/>
      <c r="N89" s="1062">
        <v>71</v>
      </c>
      <c r="O89" s="3735">
        <f t="shared" si="17"/>
        <v>0</v>
      </c>
      <c r="P89" s="2635"/>
      <c r="Q89" s="2635"/>
      <c r="R89" s="2635"/>
      <c r="S89" s="2636"/>
      <c r="T89" s="2636"/>
      <c r="U89" s="2636"/>
      <c r="V89" s="1066"/>
      <c r="W89" s="2644"/>
      <c r="X89" s="2643"/>
      <c r="Y89" s="2643"/>
      <c r="Z89" s="2643"/>
      <c r="AA89" s="2643"/>
      <c r="AB89" s="2643"/>
      <c r="AC89" s="2643"/>
      <c r="AD89" s="2644"/>
      <c r="AE89" s="107"/>
      <c r="AF89" s="107"/>
      <c r="AG89" s="2644"/>
      <c r="AH89" s="248" t="s">
        <v>572</v>
      </c>
      <c r="AI89" s="231" t="s">
        <v>418</v>
      </c>
      <c r="AJ89" s="232" t="s">
        <v>56</v>
      </c>
      <c r="AK89" s="231" t="s">
        <v>414</v>
      </c>
      <c r="AL89" s="233">
        <v>77</v>
      </c>
      <c r="AM89" s="233">
        <v>83</v>
      </c>
      <c r="AN89" s="234">
        <f t="shared" si="16"/>
        <v>80</v>
      </c>
      <c r="AO89" s="247">
        <v>12</v>
      </c>
      <c r="AP89" s="235">
        <f t="shared" si="15"/>
        <v>18.333333333333336</v>
      </c>
      <c r="AQ89" s="235">
        <f t="shared" si="15"/>
        <v>25</v>
      </c>
      <c r="AR89" s="236">
        <v>65</v>
      </c>
      <c r="AS89" s="236">
        <v>77</v>
      </c>
    </row>
    <row r="90" spans="1:45" ht="14.1" customHeight="1">
      <c r="A90" s="155"/>
      <c r="B90" s="155"/>
      <c r="C90" s="155"/>
      <c r="D90" s="155"/>
      <c r="E90" s="155"/>
      <c r="F90" s="155"/>
      <c r="G90" s="155"/>
      <c r="H90" s="155"/>
      <c r="I90" s="5389"/>
      <c r="J90" s="1062" t="s">
        <v>535</v>
      </c>
      <c r="K90" s="1062">
        <v>304</v>
      </c>
      <c r="L90" s="1063" t="s">
        <v>412</v>
      </c>
      <c r="M90" s="1067"/>
      <c r="N90" s="1062">
        <v>71</v>
      </c>
      <c r="O90" s="3735">
        <f t="shared" si="17"/>
        <v>0</v>
      </c>
      <c r="P90" s="2635"/>
      <c r="Q90" s="2635"/>
      <c r="R90" s="2635"/>
      <c r="S90" s="2636"/>
      <c r="T90" s="2636"/>
      <c r="U90" s="2636"/>
      <c r="V90" s="1066"/>
      <c r="W90" s="2644"/>
      <c r="X90" s="2643"/>
      <c r="Y90" s="2643"/>
      <c r="Z90" s="2643"/>
      <c r="AA90" s="2643"/>
      <c r="AB90" s="2643"/>
      <c r="AC90" s="2643"/>
      <c r="AD90" s="2644"/>
      <c r="AE90" s="107"/>
      <c r="AF90" s="107"/>
      <c r="AG90" s="2644"/>
      <c r="AH90" s="231" t="s">
        <v>573</v>
      </c>
      <c r="AI90" s="231" t="s">
        <v>418</v>
      </c>
      <c r="AJ90" s="232" t="s">
        <v>56</v>
      </c>
      <c r="AK90" s="231" t="s">
        <v>404</v>
      </c>
      <c r="AL90" s="233">
        <v>71</v>
      </c>
      <c r="AM90" s="233">
        <v>75</v>
      </c>
      <c r="AN90" s="234">
        <f t="shared" si="16"/>
        <v>73</v>
      </c>
      <c r="AO90" s="247">
        <v>9</v>
      </c>
      <c r="AP90" s="235">
        <f t="shared" si="15"/>
        <v>7.7777777777777786</v>
      </c>
      <c r="AQ90" s="235">
        <f t="shared" si="15"/>
        <v>13.333333333333336</v>
      </c>
      <c r="AR90" s="236">
        <v>46</v>
      </c>
      <c r="AS90" s="236">
        <v>56</v>
      </c>
    </row>
    <row r="91" spans="1:45" ht="15" customHeight="1">
      <c r="A91" s="155"/>
      <c r="B91" s="155"/>
      <c r="C91" s="155"/>
      <c r="D91" s="155"/>
      <c r="E91" s="155"/>
      <c r="F91" s="155"/>
      <c r="G91" s="155"/>
      <c r="H91" s="155"/>
      <c r="I91" s="5389"/>
      <c r="J91" s="1062" t="s">
        <v>538</v>
      </c>
      <c r="K91" s="1062">
        <v>305</v>
      </c>
      <c r="L91" s="1063" t="s">
        <v>412</v>
      </c>
      <c r="M91" s="1067">
        <v>3</v>
      </c>
      <c r="N91" s="1062">
        <v>71</v>
      </c>
      <c r="O91" s="3735">
        <f t="shared" si="17"/>
        <v>2.13</v>
      </c>
      <c r="P91" s="1071" t="s">
        <v>933</v>
      </c>
      <c r="Q91" s="1071"/>
      <c r="R91" s="1071"/>
      <c r="S91" s="2633">
        <v>15</v>
      </c>
      <c r="T91" s="2633">
        <v>20</v>
      </c>
      <c r="U91" s="2633">
        <v>23</v>
      </c>
      <c r="V91" s="1066"/>
      <c r="W91" s="2644"/>
      <c r="X91" s="2643"/>
      <c r="Y91" s="2643"/>
      <c r="Z91" s="2643"/>
      <c r="AA91" s="2643"/>
      <c r="AB91" s="2643"/>
      <c r="AC91" s="2643"/>
      <c r="AD91" s="2644"/>
      <c r="AE91" s="2643"/>
      <c r="AF91" s="2643"/>
      <c r="AG91" s="2644"/>
      <c r="AH91" s="231" t="s">
        <v>574</v>
      </c>
      <c r="AI91" s="231" t="s">
        <v>395</v>
      </c>
      <c r="AJ91" s="232" t="s">
        <v>56</v>
      </c>
      <c r="AK91" s="231" t="s">
        <v>396</v>
      </c>
      <c r="AL91" s="233">
        <v>72</v>
      </c>
      <c r="AM91" s="233">
        <v>78</v>
      </c>
      <c r="AN91" s="234">
        <f t="shared" si="16"/>
        <v>75</v>
      </c>
      <c r="AO91" s="226" t="s">
        <v>397</v>
      </c>
      <c r="AP91" s="235">
        <f t="shared" si="15"/>
        <v>18.333333333333336</v>
      </c>
      <c r="AQ91" s="235">
        <f t="shared" si="15"/>
        <v>20.555555555555557</v>
      </c>
      <c r="AR91" s="236">
        <v>65</v>
      </c>
      <c r="AS91" s="236">
        <v>69</v>
      </c>
    </row>
    <row r="92" spans="1:45">
      <c r="A92" s="155"/>
      <c r="B92" s="155"/>
      <c r="C92" s="155"/>
      <c r="D92" s="155"/>
      <c r="E92" s="155"/>
      <c r="F92" s="155"/>
      <c r="G92" s="155"/>
      <c r="H92" s="155"/>
      <c r="I92" s="5389"/>
      <c r="J92" s="1062" t="s">
        <v>525</v>
      </c>
      <c r="K92" s="1062"/>
      <c r="L92" s="1063" t="s">
        <v>412</v>
      </c>
      <c r="M92" s="1067"/>
      <c r="N92" s="1062"/>
      <c r="O92" s="3735">
        <f t="shared" si="17"/>
        <v>0</v>
      </c>
      <c r="P92" s="1071" t="s">
        <v>932</v>
      </c>
      <c r="Q92" s="1071"/>
      <c r="R92" s="1071"/>
      <c r="S92" s="2635"/>
      <c r="T92" s="2635"/>
      <c r="U92" s="2635"/>
      <c r="V92" s="1066"/>
      <c r="W92" s="2644"/>
      <c r="X92" s="2643"/>
      <c r="Y92" s="2643"/>
      <c r="Z92" s="2643"/>
      <c r="AA92" s="2643"/>
      <c r="AB92" s="2643"/>
      <c r="AC92" s="2643"/>
      <c r="AD92" s="2644"/>
      <c r="AE92" s="2643"/>
      <c r="AF92" s="2643"/>
      <c r="AG92" s="2644"/>
      <c r="AH92" s="231" t="s">
        <v>575</v>
      </c>
      <c r="AI92" s="231" t="s">
        <v>418</v>
      </c>
      <c r="AJ92" s="232" t="s">
        <v>56</v>
      </c>
      <c r="AK92" s="231" t="s">
        <v>414</v>
      </c>
      <c r="AL92" s="233">
        <v>73</v>
      </c>
      <c r="AM92" s="233">
        <v>77</v>
      </c>
      <c r="AN92" s="234">
        <f t="shared" si="16"/>
        <v>75</v>
      </c>
      <c r="AO92" s="247">
        <v>11</v>
      </c>
      <c r="AP92" s="235">
        <f t="shared" si="15"/>
        <v>12.777777777777779</v>
      </c>
      <c r="AQ92" s="235">
        <f t="shared" si="15"/>
        <v>20</v>
      </c>
      <c r="AR92" s="236">
        <v>55</v>
      </c>
      <c r="AS92" s="236">
        <v>68</v>
      </c>
    </row>
    <row r="93" spans="1:45" ht="15" customHeight="1">
      <c r="A93" s="155"/>
      <c r="B93" s="155"/>
      <c r="C93" s="155"/>
      <c r="D93" s="155"/>
      <c r="E93" s="155"/>
      <c r="F93" s="155"/>
      <c r="G93" s="155"/>
      <c r="H93" s="155"/>
      <c r="I93" s="5389"/>
      <c r="J93" s="1062" t="s">
        <v>525</v>
      </c>
      <c r="K93" s="1062"/>
      <c r="L93" s="1063" t="s">
        <v>412</v>
      </c>
      <c r="M93" s="1067"/>
      <c r="N93" s="1062"/>
      <c r="O93" s="3735">
        <f t="shared" si="17"/>
        <v>0</v>
      </c>
      <c r="P93" s="2635"/>
      <c r="Q93" s="2635"/>
      <c r="R93" s="2635"/>
      <c r="S93" s="2635"/>
      <c r="T93" s="2635"/>
      <c r="U93" s="2635"/>
      <c r="V93" s="1066"/>
      <c r="W93" s="155"/>
      <c r="X93" s="274"/>
      <c r="Y93" s="2643"/>
      <c r="Z93" s="274"/>
      <c r="AA93" s="274"/>
      <c r="AB93" s="274"/>
      <c r="AC93" s="274"/>
      <c r="AD93" s="155"/>
      <c r="AG93" s="155"/>
      <c r="AH93" s="231" t="s">
        <v>577</v>
      </c>
      <c r="AI93" s="231" t="s">
        <v>395</v>
      </c>
      <c r="AJ93" s="232" t="s">
        <v>56</v>
      </c>
      <c r="AK93" s="231" t="s">
        <v>396</v>
      </c>
      <c r="AL93" s="233">
        <v>73</v>
      </c>
      <c r="AM93" s="233">
        <v>80</v>
      </c>
      <c r="AN93" s="234">
        <f t="shared" si="16"/>
        <v>76.5</v>
      </c>
      <c r="AO93" s="226" t="s">
        <v>397</v>
      </c>
      <c r="AP93" s="235">
        <f t="shared" si="15"/>
        <v>18.333333333333336</v>
      </c>
      <c r="AQ93" s="235">
        <f t="shared" si="15"/>
        <v>21.111111111111114</v>
      </c>
      <c r="AR93" s="236">
        <v>65</v>
      </c>
      <c r="AS93" s="236">
        <v>70</v>
      </c>
    </row>
    <row r="94" spans="1:45">
      <c r="A94" s="155"/>
      <c r="B94" s="155"/>
      <c r="C94" s="155"/>
      <c r="D94" s="155"/>
      <c r="E94" s="155"/>
      <c r="F94" s="155"/>
      <c r="G94" s="155"/>
      <c r="H94" s="155"/>
      <c r="I94" s="5389"/>
      <c r="J94" s="1062" t="s">
        <v>525</v>
      </c>
      <c r="K94" s="1062"/>
      <c r="L94" s="1063" t="s">
        <v>412</v>
      </c>
      <c r="M94" s="1067"/>
      <c r="N94" s="1062"/>
      <c r="O94" s="3735">
        <f t="shared" si="17"/>
        <v>0</v>
      </c>
      <c r="P94" s="2635"/>
      <c r="Q94" s="2635"/>
      <c r="R94" s="2635"/>
      <c r="S94" s="2635"/>
      <c r="T94" s="2635"/>
      <c r="U94" s="2635"/>
      <c r="V94" s="1066"/>
      <c r="W94" s="155"/>
      <c r="X94" s="274"/>
      <c r="Y94" s="2643"/>
      <c r="Z94" s="274"/>
      <c r="AA94" s="274"/>
      <c r="AB94" s="274"/>
      <c r="AC94" s="274"/>
      <c r="AD94" s="155"/>
      <c r="AG94" s="155"/>
      <c r="AH94" s="231" t="s">
        <v>578</v>
      </c>
      <c r="AI94" s="231" t="s">
        <v>395</v>
      </c>
      <c r="AJ94" s="232" t="s">
        <v>56</v>
      </c>
      <c r="AK94" s="231" t="s">
        <v>396</v>
      </c>
      <c r="AL94" s="233">
        <v>70</v>
      </c>
      <c r="AM94" s="233">
        <v>76</v>
      </c>
      <c r="AN94" s="234">
        <f t="shared" si="16"/>
        <v>73</v>
      </c>
      <c r="AO94" s="226" t="s">
        <v>416</v>
      </c>
      <c r="AP94" s="235">
        <f t="shared" si="15"/>
        <v>8.8888888888888857</v>
      </c>
      <c r="AQ94" s="235">
        <f t="shared" si="15"/>
        <v>12.777777777777779</v>
      </c>
      <c r="AR94" s="236">
        <v>48</v>
      </c>
      <c r="AS94" s="236">
        <v>55</v>
      </c>
    </row>
    <row r="95" spans="1:45">
      <c r="A95" s="155"/>
      <c r="B95" s="155"/>
      <c r="C95" s="155"/>
      <c r="D95" s="155"/>
      <c r="E95" s="155"/>
      <c r="F95" s="155"/>
      <c r="G95" s="155"/>
      <c r="H95" s="155"/>
      <c r="I95" s="5389"/>
      <c r="J95" s="1062" t="s">
        <v>525</v>
      </c>
      <c r="K95" s="1062"/>
      <c r="L95" s="1063" t="s">
        <v>412</v>
      </c>
      <c r="M95" s="1067"/>
      <c r="N95" s="1062"/>
      <c r="O95" s="3735">
        <f>(N95*M95)/100</f>
        <v>0</v>
      </c>
      <c r="P95" s="2635"/>
      <c r="Q95" s="2635"/>
      <c r="R95" s="2635"/>
      <c r="S95" s="2635"/>
      <c r="T95" s="2635"/>
      <c r="U95" s="2635"/>
      <c r="V95" s="1066"/>
      <c r="W95" s="155"/>
      <c r="X95" s="274"/>
      <c r="Y95" s="274"/>
      <c r="Z95" s="274"/>
      <c r="AA95" s="274"/>
      <c r="AB95" s="274"/>
      <c r="AC95" s="155"/>
      <c r="AD95" s="155"/>
      <c r="AG95" s="155"/>
      <c r="AH95" s="231" t="s">
        <v>580</v>
      </c>
      <c r="AI95" s="231" t="s">
        <v>395</v>
      </c>
      <c r="AJ95" s="232" t="s">
        <v>56</v>
      </c>
      <c r="AK95" s="231" t="s">
        <v>396</v>
      </c>
      <c r="AL95" s="233">
        <v>74</v>
      </c>
      <c r="AM95" s="233">
        <v>79</v>
      </c>
      <c r="AN95" s="234">
        <f t="shared" si="16"/>
        <v>76.5</v>
      </c>
      <c r="AO95" s="226" t="s">
        <v>397</v>
      </c>
      <c r="AP95" s="235">
        <f t="shared" si="15"/>
        <v>10</v>
      </c>
      <c r="AQ95" s="235">
        <f t="shared" si="15"/>
        <v>12.777777777777779</v>
      </c>
      <c r="AR95" s="236">
        <v>50</v>
      </c>
      <c r="AS95" s="236">
        <v>55</v>
      </c>
    </row>
    <row r="96" spans="1:45">
      <c r="A96" s="155"/>
      <c r="B96" s="155"/>
      <c r="C96" s="155"/>
      <c r="D96" s="155"/>
      <c r="E96" s="155"/>
      <c r="F96" s="155"/>
      <c r="G96" s="155"/>
      <c r="H96" s="155"/>
      <c r="I96" s="5389"/>
      <c r="J96" s="1062" t="s">
        <v>525</v>
      </c>
      <c r="K96" s="1062"/>
      <c r="L96" s="1063" t="s">
        <v>412</v>
      </c>
      <c r="M96" s="1067"/>
      <c r="N96" s="1062"/>
      <c r="O96" s="3735">
        <f>(N96*M96)/100</f>
        <v>0</v>
      </c>
      <c r="P96" s="2635"/>
      <c r="Q96" s="2635"/>
      <c r="R96" s="2635"/>
      <c r="S96" s="2635"/>
      <c r="T96" s="2635"/>
      <c r="U96" s="2635"/>
      <c r="V96" s="1066"/>
      <c r="W96" s="155"/>
      <c r="X96" s="274"/>
      <c r="Y96" s="274"/>
      <c r="Z96" s="274"/>
      <c r="AA96" s="274"/>
      <c r="AB96" s="274"/>
      <c r="AC96" s="155"/>
      <c r="AD96" s="155"/>
      <c r="AG96" s="155"/>
      <c r="AH96" s="231" t="s">
        <v>582</v>
      </c>
      <c r="AI96" s="231" t="s">
        <v>418</v>
      </c>
      <c r="AJ96" s="232" t="s">
        <v>56</v>
      </c>
      <c r="AK96" s="231" t="s">
        <v>391</v>
      </c>
      <c r="AL96" s="233">
        <v>70</v>
      </c>
      <c r="AM96" s="233">
        <v>76</v>
      </c>
      <c r="AN96" s="234">
        <f t="shared" si="16"/>
        <v>73</v>
      </c>
      <c r="AO96" s="247">
        <v>10</v>
      </c>
      <c r="AP96" s="235">
        <f t="shared" si="15"/>
        <v>17.222222222222221</v>
      </c>
      <c r="AQ96" s="235">
        <f t="shared" si="15"/>
        <v>23.888888888888886</v>
      </c>
      <c r="AR96" s="236">
        <v>63</v>
      </c>
      <c r="AS96" s="236">
        <v>75</v>
      </c>
    </row>
    <row r="97" spans="1:45" ht="15" customHeight="1">
      <c r="A97" s="155"/>
      <c r="B97" s="155"/>
      <c r="C97" s="155"/>
      <c r="D97" s="155"/>
      <c r="E97" s="155"/>
      <c r="F97" s="155"/>
      <c r="G97" s="155"/>
      <c r="H97" s="155"/>
      <c r="I97" s="5389"/>
      <c r="J97" s="1062" t="s">
        <v>525</v>
      </c>
      <c r="K97" s="1062"/>
      <c r="L97" s="1063" t="s">
        <v>412</v>
      </c>
      <c r="M97" s="1067"/>
      <c r="N97" s="1062"/>
      <c r="O97" s="3735">
        <f>(N97*M97)/100</f>
        <v>0</v>
      </c>
      <c r="P97" s="2635"/>
      <c r="Q97" s="2635"/>
      <c r="R97" s="2635"/>
      <c r="S97" s="2635"/>
      <c r="T97" s="2635"/>
      <c r="U97" s="2635"/>
      <c r="V97" s="1066"/>
      <c r="W97" s="155"/>
      <c r="X97" s="274"/>
      <c r="Y97" s="274"/>
      <c r="Z97" s="274"/>
      <c r="AA97" s="274"/>
      <c r="AB97" s="274"/>
      <c r="AC97" s="155"/>
      <c r="AD97" s="155"/>
      <c r="AG97" s="155"/>
      <c r="AH97" s="231" t="s">
        <v>583</v>
      </c>
      <c r="AI97" s="231" t="s">
        <v>395</v>
      </c>
      <c r="AJ97" s="232" t="s">
        <v>56</v>
      </c>
      <c r="AK97" s="231" t="s">
        <v>390</v>
      </c>
      <c r="AL97" s="233">
        <v>72</v>
      </c>
      <c r="AM97" s="233">
        <v>76</v>
      </c>
      <c r="AN97" s="234">
        <f t="shared" si="16"/>
        <v>74</v>
      </c>
      <c r="AO97" s="226" t="s">
        <v>397</v>
      </c>
      <c r="AP97" s="235">
        <f t="shared" si="15"/>
        <v>20</v>
      </c>
      <c r="AQ97" s="235">
        <f t="shared" si="15"/>
        <v>22.222222222222221</v>
      </c>
      <c r="AR97" s="236">
        <v>68</v>
      </c>
      <c r="AS97" s="236">
        <v>72</v>
      </c>
    </row>
    <row r="98" spans="1:45">
      <c r="A98" s="155"/>
      <c r="B98" s="155"/>
      <c r="C98" s="155"/>
      <c r="D98" s="155"/>
      <c r="E98" s="155"/>
      <c r="F98" s="155"/>
      <c r="G98" s="155"/>
      <c r="H98" s="155"/>
      <c r="I98" s="5389"/>
      <c r="J98" s="1062" t="s">
        <v>525</v>
      </c>
      <c r="K98" s="1062"/>
      <c r="L98" s="1063" t="s">
        <v>412</v>
      </c>
      <c r="M98" s="1067"/>
      <c r="N98" s="1062"/>
      <c r="O98" s="3735">
        <f t="shared" si="17"/>
        <v>0</v>
      </c>
      <c r="P98" s="2635"/>
      <c r="Q98" s="2635"/>
      <c r="R98" s="2635"/>
      <c r="S98" s="2635"/>
      <c r="T98" s="2635"/>
      <c r="U98" s="2635"/>
      <c r="V98" s="1066"/>
      <c r="W98" s="155"/>
      <c r="X98" s="274"/>
      <c r="Y98" s="274"/>
      <c r="Z98" s="274"/>
      <c r="AA98" s="274"/>
      <c r="AB98" s="274"/>
      <c r="AC98" s="155"/>
      <c r="AD98" s="155"/>
      <c r="AG98" s="155"/>
      <c r="AH98" s="231" t="s">
        <v>584</v>
      </c>
      <c r="AI98" s="231" t="s">
        <v>395</v>
      </c>
      <c r="AJ98" s="232" t="s">
        <v>56</v>
      </c>
      <c r="AK98" s="231" t="s">
        <v>414</v>
      </c>
      <c r="AL98" s="233">
        <v>73</v>
      </c>
      <c r="AM98" s="233">
        <v>80</v>
      </c>
      <c r="AN98" s="234">
        <f t="shared" si="16"/>
        <v>76.5</v>
      </c>
      <c r="AO98" s="226" t="s">
        <v>397</v>
      </c>
      <c r="AP98" s="235">
        <f t="shared" si="15"/>
        <v>18.888888888888886</v>
      </c>
      <c r="AQ98" s="235">
        <f t="shared" si="15"/>
        <v>21.111111111111114</v>
      </c>
      <c r="AR98" s="236">
        <v>66</v>
      </c>
      <c r="AS98" s="236">
        <v>70</v>
      </c>
    </row>
    <row r="99" spans="1:45" ht="13.35" customHeight="1">
      <c r="A99" s="155"/>
      <c r="B99" s="155"/>
      <c r="C99" s="155"/>
      <c r="D99" s="155"/>
      <c r="E99" s="155"/>
      <c r="F99" s="155"/>
      <c r="G99" s="155"/>
      <c r="H99" s="155"/>
      <c r="I99" s="1057"/>
      <c r="J99" s="1064"/>
      <c r="K99" s="1064"/>
      <c r="L99" s="1064"/>
      <c r="M99" s="1064"/>
      <c r="N99" s="1064"/>
      <c r="O99" s="1059"/>
      <c r="P99" s="2635"/>
      <c r="Q99" s="2635"/>
      <c r="R99" s="2635"/>
      <c r="S99" s="2635"/>
      <c r="T99" s="2635"/>
      <c r="U99" s="2635"/>
      <c r="V99" s="1066"/>
      <c r="W99" s="155"/>
      <c r="X99" s="274"/>
      <c r="Y99" s="274"/>
      <c r="Z99" s="274"/>
      <c r="AA99" s="274"/>
      <c r="AB99" s="274"/>
      <c r="AC99" s="155"/>
      <c r="AD99" s="155"/>
      <c r="AG99" s="155"/>
      <c r="AH99" s="231" t="s">
        <v>586</v>
      </c>
      <c r="AI99" s="231" t="s">
        <v>418</v>
      </c>
      <c r="AJ99" s="232" t="s">
        <v>56</v>
      </c>
      <c r="AK99" s="231" t="s">
        <v>396</v>
      </c>
      <c r="AL99" s="233">
        <v>71</v>
      </c>
      <c r="AM99" s="233">
        <v>75</v>
      </c>
      <c r="AN99" s="234">
        <f t="shared" si="16"/>
        <v>73</v>
      </c>
      <c r="AO99" s="247">
        <v>12</v>
      </c>
      <c r="AP99" s="235">
        <f t="shared" si="15"/>
        <v>15.555555555555557</v>
      </c>
      <c r="AQ99" s="235">
        <f t="shared" si="15"/>
        <v>22.222222222222221</v>
      </c>
      <c r="AR99" s="236">
        <v>60</v>
      </c>
      <c r="AS99" s="236">
        <v>72</v>
      </c>
    </row>
    <row r="100" spans="1:45">
      <c r="A100" s="155"/>
      <c r="B100" s="155"/>
      <c r="C100" s="155"/>
      <c r="D100" s="155"/>
      <c r="E100" s="155"/>
      <c r="F100" s="155"/>
      <c r="G100" s="155"/>
      <c r="H100" s="155"/>
      <c r="I100" s="5400" t="s">
        <v>240</v>
      </c>
      <c r="J100" s="1062" t="s">
        <v>547</v>
      </c>
      <c r="K100" s="1076">
        <v>310</v>
      </c>
      <c r="L100" s="1063" t="s">
        <v>412</v>
      </c>
      <c r="M100" s="1062">
        <v>5.5</v>
      </c>
      <c r="N100" s="1062">
        <v>100</v>
      </c>
      <c r="O100" s="3735">
        <f t="shared" ref="O100:O110" si="18">(N100*M100)/100</f>
        <v>5.5</v>
      </c>
      <c r="P100" s="308"/>
      <c r="Q100" s="308"/>
      <c r="R100" s="308"/>
      <c r="S100" s="2636"/>
      <c r="T100" s="2633">
        <v>100</v>
      </c>
      <c r="U100" s="2633">
        <v>100</v>
      </c>
      <c r="V100" s="1066"/>
      <c r="W100" s="155"/>
      <c r="X100" s="274"/>
      <c r="Y100" s="274"/>
      <c r="Z100" s="274"/>
      <c r="AA100" s="274"/>
      <c r="AB100" s="274"/>
      <c r="AC100" s="155"/>
      <c r="AD100" s="155"/>
      <c r="AG100" s="155"/>
      <c r="AH100" s="231" t="s">
        <v>587</v>
      </c>
      <c r="AI100" s="231" t="s">
        <v>395</v>
      </c>
      <c r="AJ100" s="232" t="s">
        <v>56</v>
      </c>
      <c r="AK100" s="231" t="s">
        <v>429</v>
      </c>
      <c r="AL100" s="233">
        <v>63</v>
      </c>
      <c r="AM100" s="233">
        <v>70</v>
      </c>
      <c r="AN100" s="234">
        <f t="shared" si="16"/>
        <v>66.5</v>
      </c>
      <c r="AO100" s="226" t="s">
        <v>397</v>
      </c>
      <c r="AP100" s="235">
        <f t="shared" si="15"/>
        <v>18.333333333333336</v>
      </c>
      <c r="AQ100" s="235">
        <f t="shared" si="15"/>
        <v>20</v>
      </c>
      <c r="AR100" s="236">
        <v>65</v>
      </c>
      <c r="AS100" s="236">
        <v>68</v>
      </c>
    </row>
    <row r="101" spans="1:45" ht="14.1" customHeight="1">
      <c r="A101" s="155"/>
      <c r="B101" s="155"/>
      <c r="C101" s="155"/>
      <c r="D101" s="155"/>
      <c r="E101" s="155"/>
      <c r="F101" s="155"/>
      <c r="G101" s="155"/>
      <c r="H101" s="155"/>
      <c r="I101" s="5400"/>
      <c r="J101" s="1062" t="s">
        <v>473</v>
      </c>
      <c r="K101" s="1076">
        <v>310</v>
      </c>
      <c r="L101" s="1063" t="s">
        <v>412</v>
      </c>
      <c r="M101" s="1062">
        <v>10</v>
      </c>
      <c r="N101" s="1062">
        <v>100</v>
      </c>
      <c r="O101" s="3735">
        <f t="shared" si="18"/>
        <v>10</v>
      </c>
      <c r="P101" s="308"/>
      <c r="Q101" s="308"/>
      <c r="R101" s="308"/>
      <c r="S101" s="2636"/>
      <c r="T101" s="2633">
        <v>100</v>
      </c>
      <c r="U101" s="2633">
        <v>100</v>
      </c>
      <c r="V101" s="1066"/>
      <c r="W101" s="155"/>
      <c r="X101" s="274"/>
      <c r="Y101" s="274"/>
      <c r="Z101" s="274"/>
      <c r="AA101" s="274"/>
      <c r="AB101" s="274"/>
      <c r="AC101" s="155"/>
      <c r="AD101" s="155"/>
      <c r="AG101" s="155"/>
      <c r="AH101" s="231" t="s">
        <v>588</v>
      </c>
      <c r="AI101" s="231" t="s">
        <v>418</v>
      </c>
      <c r="AJ101" s="232" t="s">
        <v>56</v>
      </c>
      <c r="AK101" s="231" t="s">
        <v>414</v>
      </c>
      <c r="AL101" s="233">
        <v>73</v>
      </c>
      <c r="AM101" s="233">
        <v>77</v>
      </c>
      <c r="AN101" s="234">
        <f t="shared" si="16"/>
        <v>75</v>
      </c>
      <c r="AO101" s="247">
        <v>10</v>
      </c>
      <c r="AP101" s="235">
        <f t="shared" si="15"/>
        <v>13.333333333333336</v>
      </c>
      <c r="AQ101" s="235">
        <f t="shared" si="15"/>
        <v>21.111111111111114</v>
      </c>
      <c r="AR101" s="236">
        <v>56</v>
      </c>
      <c r="AS101" s="236">
        <v>70</v>
      </c>
    </row>
    <row r="102" spans="1:45">
      <c r="A102" s="155"/>
      <c r="B102" s="155"/>
      <c r="C102" s="155"/>
      <c r="D102" s="155"/>
      <c r="E102" s="155"/>
      <c r="F102" s="155"/>
      <c r="G102" s="155"/>
      <c r="H102" s="155"/>
      <c r="I102" s="5400"/>
      <c r="J102" s="1062" t="s">
        <v>550</v>
      </c>
      <c r="K102" s="1076">
        <v>310</v>
      </c>
      <c r="L102" s="1063" t="s">
        <v>412</v>
      </c>
      <c r="M102" s="1062">
        <v>18</v>
      </c>
      <c r="N102" s="1062">
        <v>100</v>
      </c>
      <c r="O102" s="3735">
        <f t="shared" si="18"/>
        <v>18</v>
      </c>
      <c r="P102" s="308"/>
      <c r="Q102" s="308"/>
      <c r="R102" s="308"/>
      <c r="S102" s="2636"/>
      <c r="T102" s="2633">
        <v>100</v>
      </c>
      <c r="U102" s="2633">
        <v>100</v>
      </c>
      <c r="V102" s="1079"/>
      <c r="W102" s="155"/>
      <c r="X102" s="274"/>
      <c r="Y102" s="274"/>
      <c r="Z102" s="274"/>
      <c r="AA102" s="274"/>
      <c r="AB102" s="274"/>
      <c r="AC102" s="155"/>
      <c r="AD102" s="155"/>
      <c r="AG102" s="155"/>
      <c r="AH102" s="231" t="s">
        <v>589</v>
      </c>
      <c r="AI102" s="231" t="s">
        <v>418</v>
      </c>
      <c r="AJ102" s="232" t="s">
        <v>56</v>
      </c>
      <c r="AK102" s="231" t="s">
        <v>472</v>
      </c>
      <c r="AL102" s="245" t="s">
        <v>472</v>
      </c>
      <c r="AM102" s="245" t="s">
        <v>472</v>
      </c>
      <c r="AN102" s="246" t="s">
        <v>472</v>
      </c>
      <c r="AO102" s="247">
        <v>9</v>
      </c>
      <c r="AP102" s="235">
        <f t="shared" si="15"/>
        <v>15.555555555555557</v>
      </c>
      <c r="AQ102" s="235">
        <f t="shared" si="15"/>
        <v>35</v>
      </c>
      <c r="AR102" s="236">
        <v>60</v>
      </c>
      <c r="AS102" s="236">
        <v>95</v>
      </c>
    </row>
    <row r="103" spans="1:45" ht="13.35" customHeight="1">
      <c r="A103" s="155"/>
      <c r="B103" s="155"/>
      <c r="C103" s="155"/>
      <c r="D103" s="155"/>
      <c r="E103" s="155"/>
      <c r="F103" s="155"/>
      <c r="G103" s="155"/>
      <c r="H103" s="155"/>
      <c r="I103" s="5400"/>
      <c r="J103" s="1062" t="s">
        <v>553</v>
      </c>
      <c r="K103" s="1076">
        <v>310</v>
      </c>
      <c r="L103" s="1063" t="s">
        <v>412</v>
      </c>
      <c r="M103" s="1062">
        <v>55</v>
      </c>
      <c r="N103" s="1062">
        <v>100</v>
      </c>
      <c r="O103" s="3735">
        <f t="shared" si="18"/>
        <v>55</v>
      </c>
      <c r="P103" s="308"/>
      <c r="Q103" s="308"/>
      <c r="R103" s="308"/>
      <c r="S103" s="2636"/>
      <c r="T103" s="2633">
        <v>100</v>
      </c>
      <c r="U103" s="2633">
        <v>100</v>
      </c>
      <c r="V103" s="1080"/>
      <c r="W103" s="155"/>
      <c r="X103" s="274"/>
      <c r="Y103" s="274"/>
      <c r="Z103" s="274"/>
      <c r="AA103" s="274"/>
      <c r="AB103" s="274"/>
      <c r="AC103" s="155"/>
      <c r="AD103" s="155"/>
      <c r="AG103" s="155"/>
      <c r="AH103" s="231" t="s">
        <v>590</v>
      </c>
      <c r="AI103" s="231" t="s">
        <v>418</v>
      </c>
      <c r="AJ103" s="232" t="s">
        <v>56</v>
      </c>
      <c r="AK103" s="231" t="s">
        <v>472</v>
      </c>
      <c r="AL103" s="245" t="s">
        <v>472</v>
      </c>
      <c r="AM103" s="245" t="s">
        <v>472</v>
      </c>
      <c r="AN103" s="246" t="s">
        <v>472</v>
      </c>
      <c r="AO103" s="247" t="s">
        <v>412</v>
      </c>
      <c r="AP103" s="235">
        <f t="shared" si="15"/>
        <v>15.555555555555557</v>
      </c>
      <c r="AQ103" s="235">
        <f t="shared" si="15"/>
        <v>35</v>
      </c>
      <c r="AR103" s="236">
        <v>60</v>
      </c>
      <c r="AS103" s="236">
        <v>95</v>
      </c>
    </row>
    <row r="104" spans="1:45" ht="15" customHeight="1">
      <c r="A104" s="155"/>
      <c r="B104" s="155"/>
      <c r="C104" s="155"/>
      <c r="D104" s="155"/>
      <c r="E104" s="155"/>
      <c r="F104" s="155"/>
      <c r="G104" s="155"/>
      <c r="H104" s="155"/>
      <c r="I104" s="5400"/>
      <c r="J104" s="1062" t="s">
        <v>555</v>
      </c>
      <c r="K104" s="1076">
        <v>310</v>
      </c>
      <c r="L104" s="1063" t="s">
        <v>412</v>
      </c>
      <c r="M104" s="1067">
        <v>9</v>
      </c>
      <c r="N104" s="1062">
        <v>100</v>
      </c>
      <c r="O104" s="3735">
        <f t="shared" si="18"/>
        <v>9</v>
      </c>
      <c r="P104" s="2638" t="s">
        <v>556</v>
      </c>
      <c r="Q104" s="2638"/>
      <c r="R104" s="2638"/>
      <c r="S104" s="2636"/>
      <c r="T104" s="2633">
        <v>100</v>
      </c>
      <c r="U104" s="2633">
        <v>100</v>
      </c>
      <c r="V104" s="1080"/>
      <c r="W104" s="155"/>
      <c r="X104" s="274"/>
      <c r="Y104" s="274"/>
      <c r="Z104" s="274"/>
      <c r="AA104" s="274"/>
      <c r="AB104" s="274"/>
      <c r="AC104" s="155"/>
      <c r="AD104" s="155"/>
      <c r="AG104" s="155"/>
      <c r="AH104" s="231" t="s">
        <v>591</v>
      </c>
      <c r="AI104" s="231" t="s">
        <v>418</v>
      </c>
      <c r="AJ104" s="232" t="s">
        <v>56</v>
      </c>
      <c r="AK104" s="231" t="s">
        <v>391</v>
      </c>
      <c r="AL104" s="233">
        <v>75</v>
      </c>
      <c r="AM104" s="233">
        <v>78</v>
      </c>
      <c r="AN104" s="234">
        <f t="shared" ref="AN104:AN110" si="19">(AL104+AM104)/2</f>
        <v>76.5</v>
      </c>
      <c r="AO104" s="247">
        <v>12</v>
      </c>
      <c r="AP104" s="235">
        <f t="shared" si="15"/>
        <v>18.333333333333336</v>
      </c>
      <c r="AQ104" s="235">
        <f t="shared" si="15"/>
        <v>26.666666666666671</v>
      </c>
      <c r="AR104" s="236">
        <v>65</v>
      </c>
      <c r="AS104" s="236">
        <v>80</v>
      </c>
    </row>
    <row r="105" spans="1:45">
      <c r="A105" s="155"/>
      <c r="B105" s="155"/>
      <c r="C105" s="155"/>
      <c r="D105" s="155"/>
      <c r="E105" s="155"/>
      <c r="F105" s="155"/>
      <c r="G105" s="155"/>
      <c r="H105" s="155"/>
      <c r="I105" s="5400"/>
      <c r="J105" s="1062" t="s">
        <v>559</v>
      </c>
      <c r="K105" s="1076">
        <v>365</v>
      </c>
      <c r="L105" s="1063" t="s">
        <v>412</v>
      </c>
      <c r="M105" s="1067">
        <v>7.5</v>
      </c>
      <c r="N105" s="1062">
        <v>100</v>
      </c>
      <c r="O105" s="3735">
        <f t="shared" si="18"/>
        <v>7.5</v>
      </c>
      <c r="P105" s="4905"/>
      <c r="Q105" s="4905"/>
      <c r="R105" s="4905"/>
      <c r="S105" s="4905"/>
      <c r="T105" s="2633">
        <v>100</v>
      </c>
      <c r="U105" s="2633">
        <v>100</v>
      </c>
      <c r="V105" s="1080"/>
      <c r="W105" s="155"/>
      <c r="X105" s="274"/>
      <c r="Y105" s="274"/>
      <c r="Z105" s="274"/>
      <c r="AA105" s="274"/>
      <c r="AB105" s="274"/>
      <c r="AC105" s="155"/>
      <c r="AD105" s="155"/>
      <c r="AG105" s="155"/>
      <c r="AH105" s="231" t="s">
        <v>592</v>
      </c>
      <c r="AI105" s="231" t="s">
        <v>418</v>
      </c>
      <c r="AJ105" s="232" t="s">
        <v>56</v>
      </c>
      <c r="AK105" s="231" t="s">
        <v>419</v>
      </c>
      <c r="AL105" s="233">
        <v>73</v>
      </c>
      <c r="AM105" s="233">
        <v>77</v>
      </c>
      <c r="AN105" s="234">
        <f t="shared" si="19"/>
        <v>75</v>
      </c>
      <c r="AO105" s="247">
        <v>11</v>
      </c>
      <c r="AP105" s="235">
        <f t="shared" ref="AP105:AQ126" si="20">((AR105+40)*5/9)-40</f>
        <v>15.555555555555557</v>
      </c>
      <c r="AQ105" s="235">
        <f t="shared" si="20"/>
        <v>22.222222222222221</v>
      </c>
      <c r="AR105" s="236">
        <v>60</v>
      </c>
      <c r="AS105" s="236">
        <v>72</v>
      </c>
    </row>
    <row r="106" spans="1:45">
      <c r="A106" s="155"/>
      <c r="B106" s="155"/>
      <c r="C106" s="155"/>
      <c r="D106" s="155"/>
      <c r="E106" s="155"/>
      <c r="F106" s="155"/>
      <c r="G106" s="155"/>
      <c r="H106" s="155"/>
      <c r="I106" s="5400"/>
      <c r="J106" s="1062" t="s">
        <v>476</v>
      </c>
      <c r="K106" s="1076">
        <v>365</v>
      </c>
      <c r="L106" s="1063" t="s">
        <v>412</v>
      </c>
      <c r="M106" s="1062">
        <v>11</v>
      </c>
      <c r="N106" s="1062">
        <v>100</v>
      </c>
      <c r="O106" s="3735">
        <f t="shared" si="18"/>
        <v>11</v>
      </c>
      <c r="P106" s="4905" t="s">
        <v>560</v>
      </c>
      <c r="Q106" s="4905"/>
      <c r="R106" s="4905"/>
      <c r="S106" s="4905"/>
      <c r="T106" s="2633">
        <v>100</v>
      </c>
      <c r="U106" s="2633">
        <v>100</v>
      </c>
      <c r="V106" s="1080"/>
      <c r="W106" s="155"/>
      <c r="X106" s="274"/>
      <c r="Y106" s="274"/>
      <c r="Z106" s="274"/>
      <c r="AA106" s="274"/>
      <c r="AB106" s="274"/>
      <c r="AC106" s="155"/>
      <c r="AD106" s="155"/>
      <c r="AG106" s="155"/>
      <c r="AH106" s="231" t="s">
        <v>594</v>
      </c>
      <c r="AI106" s="231" t="s">
        <v>418</v>
      </c>
      <c r="AJ106" s="232" t="s">
        <v>56</v>
      </c>
      <c r="AK106" s="231" t="s">
        <v>391</v>
      </c>
      <c r="AL106" s="233">
        <v>71</v>
      </c>
      <c r="AM106" s="233">
        <v>75</v>
      </c>
      <c r="AN106" s="234">
        <f t="shared" si="19"/>
        <v>73</v>
      </c>
      <c r="AO106" s="247">
        <v>10</v>
      </c>
      <c r="AP106" s="235">
        <f t="shared" si="20"/>
        <v>17.777777777777779</v>
      </c>
      <c r="AQ106" s="235">
        <f t="shared" si="20"/>
        <v>23.333333333333336</v>
      </c>
      <c r="AR106" s="236">
        <v>64</v>
      </c>
      <c r="AS106" s="236">
        <v>74</v>
      </c>
    </row>
    <row r="107" spans="1:45">
      <c r="A107" s="155"/>
      <c r="B107" s="155"/>
      <c r="C107" s="155"/>
      <c r="D107" s="155"/>
      <c r="E107" s="155"/>
      <c r="F107" s="155"/>
      <c r="G107" s="155"/>
      <c r="H107" s="155"/>
      <c r="I107" s="5400"/>
      <c r="J107" s="1062" t="s">
        <v>564</v>
      </c>
      <c r="K107" s="1076">
        <v>365</v>
      </c>
      <c r="L107" s="1063" t="s">
        <v>412</v>
      </c>
      <c r="M107" s="1062">
        <v>34</v>
      </c>
      <c r="N107" s="1062">
        <v>100</v>
      </c>
      <c r="O107" s="3735">
        <f t="shared" si="18"/>
        <v>34</v>
      </c>
      <c r="P107" s="2614"/>
      <c r="Q107" s="2614"/>
      <c r="R107" s="2614"/>
      <c r="S107" s="2636"/>
      <c r="T107" s="2633">
        <v>100</v>
      </c>
      <c r="U107" s="2633">
        <v>100</v>
      </c>
      <c r="V107" s="1080"/>
      <c r="W107" s="155"/>
      <c r="X107" s="274"/>
      <c r="Y107" s="274"/>
      <c r="Z107" s="274"/>
      <c r="AA107" s="274"/>
      <c r="AB107" s="274"/>
      <c r="AC107" s="155"/>
      <c r="AD107" s="155"/>
      <c r="AG107" s="155"/>
      <c r="AH107" s="231" t="s">
        <v>596</v>
      </c>
      <c r="AI107" s="231" t="s">
        <v>395</v>
      </c>
      <c r="AJ107" s="232" t="s">
        <v>56</v>
      </c>
      <c r="AK107" s="231" t="s">
        <v>396</v>
      </c>
      <c r="AL107" s="233">
        <v>67</v>
      </c>
      <c r="AM107" s="233">
        <v>75</v>
      </c>
      <c r="AN107" s="234">
        <f t="shared" si="19"/>
        <v>71</v>
      </c>
      <c r="AO107" s="226" t="s">
        <v>397</v>
      </c>
      <c r="AP107" s="235">
        <f t="shared" si="20"/>
        <v>18.888888888888886</v>
      </c>
      <c r="AQ107" s="235">
        <f t="shared" si="20"/>
        <v>21.666666666666664</v>
      </c>
      <c r="AR107" s="236">
        <v>66</v>
      </c>
      <c r="AS107" s="236">
        <v>71</v>
      </c>
    </row>
    <row r="108" spans="1:45">
      <c r="A108" s="155"/>
      <c r="B108" s="155"/>
      <c r="C108" s="155"/>
      <c r="D108" s="155"/>
      <c r="E108" s="155"/>
      <c r="F108" s="155"/>
      <c r="G108" s="155"/>
      <c r="I108" s="5400"/>
      <c r="J108" s="1062" t="s">
        <v>566</v>
      </c>
      <c r="K108" s="1076">
        <v>365</v>
      </c>
      <c r="L108" s="1063" t="s">
        <v>412</v>
      </c>
      <c r="M108" s="1062">
        <v>57</v>
      </c>
      <c r="N108" s="1062">
        <v>100</v>
      </c>
      <c r="O108" s="3735">
        <f t="shared" si="18"/>
        <v>57</v>
      </c>
      <c r="P108" s="2614"/>
      <c r="Q108" s="2614"/>
      <c r="R108" s="2614"/>
      <c r="S108" s="2636"/>
      <c r="T108" s="2633">
        <v>100</v>
      </c>
      <c r="U108" s="2633">
        <v>100</v>
      </c>
      <c r="V108" s="1080"/>
      <c r="W108" s="155"/>
      <c r="X108" s="274"/>
      <c r="Y108" s="274"/>
      <c r="Z108" s="274"/>
      <c r="AA108" s="274"/>
      <c r="AB108" s="274"/>
      <c r="AC108" s="155"/>
      <c r="AD108" s="155"/>
      <c r="AG108" s="155"/>
      <c r="AH108" s="231" t="s">
        <v>597</v>
      </c>
      <c r="AI108" s="231" t="s">
        <v>418</v>
      </c>
      <c r="AJ108" s="232" t="s">
        <v>56</v>
      </c>
      <c r="AK108" s="231" t="s">
        <v>558</v>
      </c>
      <c r="AL108" s="233">
        <v>67</v>
      </c>
      <c r="AM108" s="233">
        <v>71</v>
      </c>
      <c r="AN108" s="234">
        <f t="shared" si="19"/>
        <v>69</v>
      </c>
      <c r="AO108" s="247">
        <v>9</v>
      </c>
      <c r="AP108" s="235">
        <f t="shared" si="20"/>
        <v>17.777777777777779</v>
      </c>
      <c r="AQ108" s="235">
        <f t="shared" si="20"/>
        <v>22.222222222222221</v>
      </c>
      <c r="AR108" s="236">
        <v>64</v>
      </c>
      <c r="AS108" s="236">
        <v>72</v>
      </c>
    </row>
    <row r="109" spans="1:45">
      <c r="B109" s="155"/>
      <c r="C109" s="155"/>
      <c r="D109" s="155"/>
      <c r="E109" s="155"/>
      <c r="F109" s="155"/>
      <c r="G109" s="155"/>
      <c r="H109" s="155"/>
      <c r="I109" s="5400"/>
      <c r="J109" s="1062" t="s">
        <v>568</v>
      </c>
      <c r="K109" s="1076">
        <v>365</v>
      </c>
      <c r="L109" s="1063" t="s">
        <v>412</v>
      </c>
      <c r="M109" s="1062">
        <v>95</v>
      </c>
      <c r="N109" s="1062">
        <v>100</v>
      </c>
      <c r="O109" s="3735">
        <f t="shared" si="18"/>
        <v>95</v>
      </c>
      <c r="P109" s="2614"/>
      <c r="Q109" s="2614"/>
      <c r="R109" s="2614"/>
      <c r="S109" s="2636"/>
      <c r="T109" s="2633">
        <v>100</v>
      </c>
      <c r="U109" s="2633">
        <v>100</v>
      </c>
      <c r="V109" s="1080"/>
      <c r="W109" s="155"/>
      <c r="X109" s="274"/>
      <c r="Y109" s="274"/>
      <c r="Z109" s="274"/>
      <c r="AA109" s="274"/>
      <c r="AB109" s="274"/>
      <c r="AC109" s="155"/>
      <c r="AD109" s="155"/>
      <c r="AG109" s="155"/>
      <c r="AH109" s="231" t="s">
        <v>599</v>
      </c>
      <c r="AI109" s="231" t="s">
        <v>395</v>
      </c>
      <c r="AJ109" s="232" t="s">
        <v>56</v>
      </c>
      <c r="AK109" s="231" t="s">
        <v>396</v>
      </c>
      <c r="AL109" s="233">
        <v>70</v>
      </c>
      <c r="AM109" s="233">
        <v>78</v>
      </c>
      <c r="AN109" s="234">
        <f t="shared" si="19"/>
        <v>74</v>
      </c>
      <c r="AO109" s="226" t="s">
        <v>397</v>
      </c>
      <c r="AP109" s="235">
        <f t="shared" si="20"/>
        <v>10</v>
      </c>
      <c r="AQ109" s="235">
        <f t="shared" si="20"/>
        <v>12.777777777777779</v>
      </c>
      <c r="AR109" s="236">
        <v>50</v>
      </c>
      <c r="AS109" s="236">
        <v>55</v>
      </c>
    </row>
    <row r="110" spans="1:45" ht="13.5" customHeight="1">
      <c r="A110" s="155"/>
      <c r="B110" s="155"/>
      <c r="C110" s="155"/>
      <c r="D110" s="155"/>
      <c r="E110" s="155"/>
      <c r="F110" s="155"/>
      <c r="G110" s="155"/>
      <c r="H110" s="155"/>
      <c r="I110" s="5400"/>
      <c r="J110" s="1062" t="s">
        <v>542</v>
      </c>
      <c r="K110" s="1076">
        <v>365</v>
      </c>
      <c r="L110" s="1063" t="s">
        <v>412</v>
      </c>
      <c r="M110" s="1067">
        <v>6</v>
      </c>
      <c r="N110" s="1062">
        <v>100</v>
      </c>
      <c r="O110" s="3735">
        <f t="shared" si="18"/>
        <v>6</v>
      </c>
      <c r="P110" s="2638" t="s">
        <v>556</v>
      </c>
      <c r="Q110" s="2638"/>
      <c r="R110" s="2638"/>
      <c r="S110" s="2636"/>
      <c r="T110" s="2633">
        <v>100</v>
      </c>
      <c r="U110" s="2633">
        <v>100</v>
      </c>
      <c r="V110" s="1080"/>
      <c r="W110" s="155"/>
      <c r="X110" s="274"/>
      <c r="Y110" s="274"/>
      <c r="Z110" s="274"/>
      <c r="AA110" s="274"/>
      <c r="AB110" s="274"/>
      <c r="AC110" s="155"/>
      <c r="AD110" s="155"/>
      <c r="AG110" s="155"/>
      <c r="AH110" s="231" t="s">
        <v>601</v>
      </c>
      <c r="AI110" s="231" t="s">
        <v>418</v>
      </c>
      <c r="AJ110" s="232" t="s">
        <v>56</v>
      </c>
      <c r="AK110" s="231" t="s">
        <v>396</v>
      </c>
      <c r="AL110" s="233">
        <v>70</v>
      </c>
      <c r="AM110" s="233">
        <v>74</v>
      </c>
      <c r="AN110" s="234">
        <f t="shared" si="19"/>
        <v>72</v>
      </c>
      <c r="AO110" s="247">
        <v>9</v>
      </c>
      <c r="AP110" s="235">
        <f t="shared" si="20"/>
        <v>8.8888888888888857</v>
      </c>
      <c r="AQ110" s="235">
        <f t="shared" si="20"/>
        <v>13.333333333333336</v>
      </c>
      <c r="AR110" s="236">
        <v>48</v>
      </c>
      <c r="AS110" s="236">
        <v>56</v>
      </c>
    </row>
    <row r="111" spans="1:45" ht="13.5" customHeight="1">
      <c r="A111" s="155"/>
      <c r="B111" s="155"/>
      <c r="C111" s="155"/>
      <c r="D111" s="155"/>
      <c r="E111" s="155"/>
      <c r="F111" s="155"/>
      <c r="G111" s="155"/>
      <c r="H111" s="155"/>
      <c r="I111" s="5400"/>
      <c r="J111" s="1062" t="s">
        <v>525</v>
      </c>
      <c r="K111" s="1062"/>
      <c r="L111" s="1063" t="s">
        <v>412</v>
      </c>
      <c r="M111" s="1067"/>
      <c r="N111" s="1062"/>
      <c r="O111" s="3735">
        <f>(N111*M111)/100</f>
        <v>0</v>
      </c>
      <c r="P111" s="2635"/>
      <c r="Q111" s="2635"/>
      <c r="R111" s="2635"/>
      <c r="S111" s="2635"/>
      <c r="T111" s="2635"/>
      <c r="U111" s="2635"/>
      <c r="V111" s="1061"/>
      <c r="W111" s="155"/>
      <c r="X111" s="274"/>
      <c r="Y111" s="274"/>
      <c r="Z111" s="274"/>
      <c r="AA111" s="274"/>
      <c r="AB111" s="274"/>
      <c r="AC111" s="155"/>
      <c r="AD111" s="155"/>
      <c r="AG111" s="155"/>
      <c r="AH111" s="231" t="s">
        <v>603</v>
      </c>
      <c r="AI111" s="231" t="s">
        <v>604</v>
      </c>
      <c r="AJ111" s="278" t="s">
        <v>504</v>
      </c>
      <c r="AK111" s="231" t="s">
        <v>391</v>
      </c>
      <c r="AL111" s="245"/>
      <c r="AM111" s="245"/>
      <c r="AN111" s="246" t="s">
        <v>391</v>
      </c>
      <c r="AO111" s="247" t="s">
        <v>412</v>
      </c>
      <c r="AP111" s="235">
        <f t="shared" si="20"/>
        <v>13.888888888888886</v>
      </c>
      <c r="AQ111" s="235">
        <f t="shared" si="20"/>
        <v>25</v>
      </c>
      <c r="AR111" s="236">
        <v>57</v>
      </c>
      <c r="AS111" s="236">
        <v>77</v>
      </c>
    </row>
    <row r="112" spans="1:45">
      <c r="A112" s="155"/>
      <c r="B112" s="155"/>
      <c r="C112" s="155"/>
      <c r="D112" s="155"/>
      <c r="E112" s="155"/>
      <c r="F112" s="155"/>
      <c r="G112" s="155"/>
      <c r="H112" s="155"/>
      <c r="I112" s="5400"/>
      <c r="J112" s="1062" t="s">
        <v>525</v>
      </c>
      <c r="K112" s="1062"/>
      <c r="L112" s="1063" t="s">
        <v>412</v>
      </c>
      <c r="M112" s="1067"/>
      <c r="N112" s="1062"/>
      <c r="O112" s="3735">
        <f>(N112*M112)/100</f>
        <v>0</v>
      </c>
      <c r="P112" s="1064"/>
      <c r="Q112" s="1064"/>
      <c r="R112" s="1064"/>
      <c r="S112" s="2635"/>
      <c r="T112" s="2635"/>
      <c r="U112" s="2635"/>
      <c r="V112" s="1066"/>
      <c r="W112" s="155"/>
      <c r="X112" s="274"/>
      <c r="Y112" s="274"/>
      <c r="Z112" s="274"/>
      <c r="AA112" s="274"/>
      <c r="AB112" s="274"/>
      <c r="AC112" s="155"/>
      <c r="AD112" s="155"/>
      <c r="AG112" s="155"/>
      <c r="AH112" s="231" t="s">
        <v>605</v>
      </c>
      <c r="AI112" s="231" t="s">
        <v>604</v>
      </c>
      <c r="AJ112" s="278" t="s">
        <v>504</v>
      </c>
      <c r="AK112" s="231" t="s">
        <v>391</v>
      </c>
      <c r="AL112" s="245"/>
      <c r="AM112" s="245"/>
      <c r="AN112" s="246" t="s">
        <v>391</v>
      </c>
      <c r="AO112" s="247" t="s">
        <v>412</v>
      </c>
      <c r="AP112" s="235">
        <f t="shared" si="20"/>
        <v>13.888888888888886</v>
      </c>
      <c r="AQ112" s="235">
        <f t="shared" si="20"/>
        <v>25</v>
      </c>
      <c r="AR112" s="236">
        <v>57</v>
      </c>
      <c r="AS112" s="236">
        <v>77</v>
      </c>
    </row>
    <row r="113" spans="1:45">
      <c r="A113" s="155">
        <v>3</v>
      </c>
      <c r="B113" s="155"/>
      <c r="C113" s="155"/>
      <c r="D113" s="155"/>
      <c r="E113" s="155"/>
      <c r="F113" s="155"/>
      <c r="G113" s="155"/>
      <c r="H113" s="155"/>
      <c r="I113" s="1057"/>
      <c r="J113" s="1064"/>
      <c r="K113" s="1064"/>
      <c r="L113" s="1064"/>
      <c r="M113" s="1064"/>
      <c r="N113" s="1064"/>
      <c r="O113" s="1059"/>
      <c r="P113" s="1064"/>
      <c r="Q113" s="1064"/>
      <c r="R113" s="1064"/>
      <c r="S113" s="2635"/>
      <c r="T113" s="2635"/>
      <c r="U113" s="2635"/>
      <c r="V113" s="1066"/>
      <c r="W113" s="155"/>
      <c r="X113" s="274"/>
      <c r="Y113" s="274"/>
      <c r="Z113" s="274"/>
      <c r="AA113" s="274"/>
      <c r="AB113" s="274"/>
      <c r="AC113" s="155"/>
      <c r="AD113" s="155"/>
      <c r="AG113" s="155"/>
      <c r="AH113" s="231" t="s">
        <v>607</v>
      </c>
      <c r="AI113" s="231" t="s">
        <v>418</v>
      </c>
      <c r="AJ113" s="232" t="s">
        <v>56</v>
      </c>
      <c r="AK113" s="231" t="s">
        <v>391</v>
      </c>
      <c r="AL113" s="233">
        <v>70</v>
      </c>
      <c r="AM113" s="233">
        <v>76</v>
      </c>
      <c r="AN113" s="234">
        <f>(AL113+AM113)/2</f>
        <v>73</v>
      </c>
      <c r="AO113" s="247">
        <v>9</v>
      </c>
      <c r="AP113" s="235">
        <f t="shared" si="20"/>
        <v>11.111111111111114</v>
      </c>
      <c r="AQ113" s="235">
        <f t="shared" si="20"/>
        <v>14.444444444444443</v>
      </c>
      <c r="AR113" s="236">
        <v>52</v>
      </c>
      <c r="AS113" s="236">
        <v>58</v>
      </c>
    </row>
    <row r="114" spans="1:45">
      <c r="A114" s="155"/>
      <c r="B114" s="155"/>
      <c r="C114" s="155"/>
      <c r="D114" s="155"/>
      <c r="E114" s="155"/>
      <c r="F114" s="155"/>
      <c r="G114" s="155"/>
      <c r="H114" s="155"/>
      <c r="I114" s="5401" t="s">
        <v>128</v>
      </c>
      <c r="J114" s="419" t="s">
        <v>260</v>
      </c>
      <c r="K114" s="419">
        <v>265</v>
      </c>
      <c r="L114" s="1063" t="s">
        <v>412</v>
      </c>
      <c r="M114" s="419">
        <v>1280</v>
      </c>
      <c r="N114" s="419">
        <v>71</v>
      </c>
      <c r="O114" s="3735">
        <f t="shared" ref="O114:O129" si="21">(N114*M114)/100</f>
        <v>908.8</v>
      </c>
      <c r="P114" s="1059"/>
      <c r="Q114" s="1059"/>
      <c r="R114" s="1059"/>
      <c r="S114" s="2633">
        <v>10</v>
      </c>
      <c r="T114" s="2633">
        <v>13</v>
      </c>
      <c r="U114" s="2633">
        <v>15</v>
      </c>
      <c r="V114" s="1066"/>
      <c r="W114" s="155"/>
      <c r="X114" s="274"/>
      <c r="Y114" s="274"/>
      <c r="Z114" s="274"/>
      <c r="AA114" s="274"/>
      <c r="AB114" s="274"/>
      <c r="AC114" s="155"/>
      <c r="AD114" s="155"/>
      <c r="AG114" s="155"/>
      <c r="AH114" s="231" t="s">
        <v>609</v>
      </c>
      <c r="AI114" s="231" t="s">
        <v>411</v>
      </c>
      <c r="AJ114" s="232" t="s">
        <v>56</v>
      </c>
      <c r="AK114" s="231" t="s">
        <v>414</v>
      </c>
      <c r="AL114" s="245"/>
      <c r="AM114" s="245"/>
      <c r="AN114" s="246" t="s">
        <v>391</v>
      </c>
      <c r="AO114" s="247" t="s">
        <v>412</v>
      </c>
      <c r="AP114" s="235">
        <f t="shared" si="20"/>
        <v>20</v>
      </c>
      <c r="AQ114" s="235">
        <f t="shared" si="20"/>
        <v>22.222222222222221</v>
      </c>
      <c r="AR114" s="236">
        <v>68</v>
      </c>
      <c r="AS114" s="236">
        <v>72</v>
      </c>
    </row>
    <row r="115" spans="1:45">
      <c r="A115" s="155"/>
      <c r="B115" s="155"/>
      <c r="C115" s="155"/>
      <c r="D115" s="155"/>
      <c r="E115" s="155"/>
      <c r="F115" s="155"/>
      <c r="G115" s="155"/>
      <c r="H115" s="155"/>
      <c r="I115" s="5401"/>
      <c r="J115" s="1062" t="s">
        <v>262</v>
      </c>
      <c r="K115" s="419">
        <v>265</v>
      </c>
      <c r="L115" s="1063" t="s">
        <v>412</v>
      </c>
      <c r="M115" s="1081">
        <v>25</v>
      </c>
      <c r="N115" s="1062">
        <v>71</v>
      </c>
      <c r="O115" s="3735">
        <f t="shared" si="21"/>
        <v>17.75</v>
      </c>
      <c r="P115" s="1059"/>
      <c r="Q115" s="1059"/>
      <c r="R115" s="1059"/>
      <c r="S115" s="2633">
        <v>10</v>
      </c>
      <c r="T115" s="2633">
        <v>13</v>
      </c>
      <c r="U115" s="2633">
        <v>15</v>
      </c>
      <c r="V115" s="1066"/>
      <c r="W115" s="155"/>
      <c r="X115" s="274"/>
      <c r="Y115" s="274"/>
      <c r="Z115" s="274"/>
      <c r="AA115" s="274"/>
      <c r="AB115" s="274"/>
      <c r="AC115" s="155"/>
      <c r="AD115" s="155"/>
      <c r="AG115" s="155"/>
      <c r="AH115" s="231" t="s">
        <v>611</v>
      </c>
      <c r="AI115" s="231" t="s">
        <v>418</v>
      </c>
      <c r="AJ115" s="232" t="s">
        <v>56</v>
      </c>
      <c r="AK115" s="231" t="s">
        <v>391</v>
      </c>
      <c r="AL115" s="233">
        <v>67</v>
      </c>
      <c r="AM115" s="233">
        <v>71</v>
      </c>
      <c r="AN115" s="234">
        <f>(AL115+AM115)/2</f>
        <v>69</v>
      </c>
      <c r="AO115" s="247">
        <v>10</v>
      </c>
      <c r="AP115" s="235">
        <f t="shared" si="20"/>
        <v>18.333333333333336</v>
      </c>
      <c r="AQ115" s="235">
        <f t="shared" si="20"/>
        <v>23.888888888888886</v>
      </c>
      <c r="AR115" s="236">
        <v>65</v>
      </c>
      <c r="AS115" s="236">
        <v>75</v>
      </c>
    </row>
    <row r="116" spans="1:45">
      <c r="A116" s="155"/>
      <c r="B116" s="155"/>
      <c r="C116" s="155"/>
      <c r="D116" s="155"/>
      <c r="E116" s="155"/>
      <c r="F116" s="155"/>
      <c r="G116" s="155"/>
      <c r="H116" s="155"/>
      <c r="I116" s="5401"/>
      <c r="J116" s="1062" t="s">
        <v>552</v>
      </c>
      <c r="K116" s="419">
        <v>265</v>
      </c>
      <c r="L116" s="1063" t="s">
        <v>412</v>
      </c>
      <c r="M116" s="1081">
        <v>12</v>
      </c>
      <c r="N116" s="1062">
        <v>71</v>
      </c>
      <c r="O116" s="3735">
        <f t="shared" si="21"/>
        <v>8.52</v>
      </c>
      <c r="P116" s="1059"/>
      <c r="Q116" s="1059"/>
      <c r="R116" s="1059"/>
      <c r="S116" s="2633">
        <v>10</v>
      </c>
      <c r="T116" s="2633">
        <v>13</v>
      </c>
      <c r="U116" s="2633">
        <v>15</v>
      </c>
      <c r="V116" s="1066"/>
      <c r="W116" s="155"/>
      <c r="X116" s="274"/>
      <c r="Y116" s="274"/>
      <c r="Z116" s="274"/>
      <c r="AA116" s="274"/>
      <c r="AB116" s="274"/>
      <c r="AC116" s="155"/>
      <c r="AD116" s="155"/>
      <c r="AG116" s="155"/>
      <c r="AH116" s="231" t="s">
        <v>612</v>
      </c>
      <c r="AI116" s="231" t="s">
        <v>613</v>
      </c>
      <c r="AJ116" s="278" t="s">
        <v>504</v>
      </c>
      <c r="AK116" s="231" t="s">
        <v>391</v>
      </c>
      <c r="AL116" s="245"/>
      <c r="AM116" s="245"/>
      <c r="AN116" s="246" t="s">
        <v>391</v>
      </c>
      <c r="AO116" s="247" t="s">
        <v>412</v>
      </c>
      <c r="AP116" s="235">
        <f t="shared" si="20"/>
        <v>13.888888888888886</v>
      </c>
      <c r="AQ116" s="235">
        <f t="shared" si="20"/>
        <v>21.111111111111114</v>
      </c>
      <c r="AR116" s="236">
        <v>57</v>
      </c>
      <c r="AS116" s="236">
        <v>70</v>
      </c>
    </row>
    <row r="117" spans="1:45" ht="13.5" customHeight="1">
      <c r="A117" s="155"/>
      <c r="B117" s="155"/>
      <c r="C117" s="155"/>
      <c r="D117" s="155"/>
      <c r="E117" s="155"/>
      <c r="F117" s="155"/>
      <c r="G117" s="155"/>
      <c r="H117" s="155"/>
      <c r="I117" s="5401"/>
      <c r="J117" s="1062" t="s">
        <v>264</v>
      </c>
      <c r="K117" s="419">
        <v>265</v>
      </c>
      <c r="L117" s="1063" t="s">
        <v>412</v>
      </c>
      <c r="M117" s="1081">
        <v>10</v>
      </c>
      <c r="N117" s="1062">
        <v>71</v>
      </c>
      <c r="O117" s="3735">
        <f t="shared" si="21"/>
        <v>7.1</v>
      </c>
      <c r="P117" s="1064"/>
      <c r="Q117" s="1064"/>
      <c r="R117" s="1064"/>
      <c r="S117" s="2633">
        <v>10</v>
      </c>
      <c r="T117" s="2633">
        <v>13</v>
      </c>
      <c r="U117" s="2633">
        <v>15</v>
      </c>
      <c r="V117" s="1066"/>
      <c r="W117" s="155"/>
      <c r="X117" s="274"/>
      <c r="Y117" s="274"/>
      <c r="Z117" s="274"/>
      <c r="AA117" s="274"/>
      <c r="AB117" s="274"/>
      <c r="AC117" s="155"/>
      <c r="AD117" s="155"/>
      <c r="AG117" s="155"/>
      <c r="AH117" s="231" t="s">
        <v>616</v>
      </c>
      <c r="AI117" s="231" t="s">
        <v>418</v>
      </c>
      <c r="AJ117" s="232" t="s">
        <v>56</v>
      </c>
      <c r="AK117" s="231" t="s">
        <v>447</v>
      </c>
      <c r="AL117" s="233">
        <v>73</v>
      </c>
      <c r="AM117" s="233">
        <v>77</v>
      </c>
      <c r="AN117" s="234">
        <f>(AL117+AM117)/2</f>
        <v>75</v>
      </c>
      <c r="AO117" s="247">
        <v>9</v>
      </c>
      <c r="AP117" s="235">
        <f t="shared" si="20"/>
        <v>8.8888888888888857</v>
      </c>
      <c r="AQ117" s="235">
        <f t="shared" si="20"/>
        <v>14.444444444444443</v>
      </c>
      <c r="AR117" s="236">
        <v>48</v>
      </c>
      <c r="AS117" s="236">
        <v>58</v>
      </c>
    </row>
    <row r="118" spans="1:45" ht="15" customHeight="1">
      <c r="A118" s="155"/>
      <c r="B118" s="155"/>
      <c r="C118" s="155"/>
      <c r="D118" s="155"/>
      <c r="E118" s="155"/>
      <c r="F118" s="155"/>
      <c r="G118" s="155"/>
      <c r="H118" s="155"/>
      <c r="I118" s="5401"/>
      <c r="J118" s="1062" t="s">
        <v>265</v>
      </c>
      <c r="K118" s="1062">
        <v>265</v>
      </c>
      <c r="L118" s="1063" t="s">
        <v>412</v>
      </c>
      <c r="M118" s="1062">
        <v>1060</v>
      </c>
      <c r="N118" s="1062">
        <v>72</v>
      </c>
      <c r="O118" s="3735">
        <f t="shared" si="21"/>
        <v>763.2</v>
      </c>
      <c r="P118" s="1064"/>
      <c r="Q118" s="1064"/>
      <c r="R118" s="1064"/>
      <c r="S118" s="2633">
        <v>5</v>
      </c>
      <c r="T118" s="2633">
        <v>7</v>
      </c>
      <c r="U118" s="2633">
        <v>8</v>
      </c>
      <c r="V118" s="1066"/>
      <c r="W118" s="155"/>
      <c r="X118" s="274"/>
      <c r="Y118" s="274"/>
      <c r="Z118" s="274"/>
      <c r="AA118" s="274"/>
      <c r="AB118" s="274"/>
      <c r="AC118" s="155"/>
      <c r="AD118" s="155"/>
      <c r="AG118" s="155"/>
      <c r="AH118" s="231" t="s">
        <v>618</v>
      </c>
      <c r="AI118" s="231" t="s">
        <v>395</v>
      </c>
      <c r="AJ118" s="232" t="s">
        <v>56</v>
      </c>
      <c r="AK118" s="231" t="s">
        <v>396</v>
      </c>
      <c r="AL118" s="233">
        <v>65</v>
      </c>
      <c r="AM118" s="233">
        <v>73</v>
      </c>
      <c r="AN118" s="234">
        <f>(AL118+AM118)/2</f>
        <v>69</v>
      </c>
      <c r="AO118" s="226" t="s">
        <v>416</v>
      </c>
      <c r="AP118" s="235">
        <f t="shared" si="20"/>
        <v>11.111111111111114</v>
      </c>
      <c r="AQ118" s="235">
        <f t="shared" si="20"/>
        <v>14.444444444444443</v>
      </c>
      <c r="AR118" s="236">
        <v>52</v>
      </c>
      <c r="AS118" s="236">
        <v>58</v>
      </c>
    </row>
    <row r="119" spans="1:45" ht="13.35" customHeight="1">
      <c r="A119" s="155"/>
      <c r="B119" s="155"/>
      <c r="C119" s="155"/>
      <c r="D119" s="155"/>
      <c r="E119" s="155"/>
      <c r="F119" s="155"/>
      <c r="G119" s="155"/>
      <c r="H119" s="155"/>
      <c r="I119" s="5401"/>
      <c r="J119" s="1062" t="s">
        <v>269</v>
      </c>
      <c r="K119" s="1062">
        <v>265</v>
      </c>
      <c r="L119" s="1063" t="s">
        <v>412</v>
      </c>
      <c r="M119" s="1062">
        <v>105</v>
      </c>
      <c r="N119" s="1062">
        <v>74</v>
      </c>
      <c r="O119" s="3735">
        <f t="shared" si="21"/>
        <v>77.7</v>
      </c>
      <c r="P119" s="1064"/>
      <c r="Q119" s="1064"/>
      <c r="R119" s="1064"/>
      <c r="S119" s="2633">
        <v>20</v>
      </c>
      <c r="T119" s="2633">
        <v>26</v>
      </c>
      <c r="U119" s="2633">
        <v>29</v>
      </c>
      <c r="V119" s="1066"/>
      <c r="W119" s="155"/>
      <c r="X119" s="274"/>
      <c r="Y119" s="274"/>
      <c r="Z119" s="274"/>
      <c r="AA119" s="274"/>
      <c r="AB119" s="274"/>
      <c r="AC119" s="155"/>
      <c r="AD119" s="155"/>
      <c r="AG119" s="155"/>
      <c r="AH119" s="231" t="s">
        <v>620</v>
      </c>
      <c r="AI119" s="231" t="s">
        <v>395</v>
      </c>
      <c r="AJ119" s="232" t="s">
        <v>56</v>
      </c>
      <c r="AK119" s="231" t="s">
        <v>396</v>
      </c>
      <c r="AL119" s="233">
        <v>66</v>
      </c>
      <c r="AM119" s="233">
        <v>73</v>
      </c>
      <c r="AN119" s="234">
        <f>(AL119+AM119)/2</f>
        <v>69.5</v>
      </c>
      <c r="AO119" s="226" t="s">
        <v>416</v>
      </c>
      <c r="AP119" s="235">
        <f t="shared" si="20"/>
        <v>10</v>
      </c>
      <c r="AQ119" s="235">
        <f t="shared" si="20"/>
        <v>12.777777777777779</v>
      </c>
      <c r="AR119" s="236">
        <v>50</v>
      </c>
      <c r="AS119" s="236">
        <v>55</v>
      </c>
    </row>
    <row r="120" spans="1:45">
      <c r="A120" s="155"/>
      <c r="B120" s="155"/>
      <c r="C120" s="155"/>
      <c r="D120" s="155"/>
      <c r="E120" s="155"/>
      <c r="F120" s="155"/>
      <c r="G120" s="155"/>
      <c r="H120" s="155"/>
      <c r="I120" s="5401"/>
      <c r="J120" s="1062" t="s">
        <v>270</v>
      </c>
      <c r="K120" s="1062">
        <v>265</v>
      </c>
      <c r="L120" s="1063" t="s">
        <v>412</v>
      </c>
      <c r="M120" s="1062">
        <v>140</v>
      </c>
      <c r="N120" s="1062">
        <v>74</v>
      </c>
      <c r="O120" s="3735">
        <f t="shared" si="21"/>
        <v>103.6</v>
      </c>
      <c r="P120" s="308" t="s">
        <v>576</v>
      </c>
      <c r="Q120" s="1059"/>
      <c r="R120" s="1059"/>
      <c r="S120" s="2633">
        <v>20</v>
      </c>
      <c r="T120" s="2633">
        <v>26</v>
      </c>
      <c r="U120" s="2633">
        <v>29</v>
      </c>
      <c r="V120" s="1082"/>
      <c r="W120" s="155"/>
      <c r="X120" s="274"/>
      <c r="Y120" s="274"/>
      <c r="Z120" s="274"/>
      <c r="AA120" s="274"/>
      <c r="AB120" s="274"/>
      <c r="AC120" s="155"/>
      <c r="AD120" s="155"/>
      <c r="AG120" s="155"/>
      <c r="AH120" s="231" t="s">
        <v>622</v>
      </c>
      <c r="AI120" s="231" t="s">
        <v>395</v>
      </c>
      <c r="AJ120" s="232" t="s">
        <v>56</v>
      </c>
      <c r="AK120" s="231" t="s">
        <v>391</v>
      </c>
      <c r="AL120" s="233">
        <v>65</v>
      </c>
      <c r="AM120" s="233">
        <v>70</v>
      </c>
      <c r="AN120" s="234">
        <f>(AL120+AM120)/2</f>
        <v>67.5</v>
      </c>
      <c r="AO120" s="226" t="s">
        <v>397</v>
      </c>
      <c r="AP120" s="235">
        <f t="shared" si="20"/>
        <v>18.333333333333336</v>
      </c>
      <c r="AQ120" s="235">
        <f t="shared" si="20"/>
        <v>20</v>
      </c>
      <c r="AR120" s="236">
        <v>65</v>
      </c>
      <c r="AS120" s="236">
        <v>68</v>
      </c>
    </row>
    <row r="121" spans="1:45">
      <c r="A121" s="155"/>
      <c r="B121" s="155"/>
      <c r="C121" s="155"/>
      <c r="D121" s="155"/>
      <c r="E121" s="155"/>
      <c r="F121" s="155"/>
      <c r="G121" s="155"/>
      <c r="H121" s="155"/>
      <c r="I121" s="5401"/>
      <c r="J121" s="1062" t="s">
        <v>267</v>
      </c>
      <c r="K121" s="1062">
        <v>265</v>
      </c>
      <c r="L121" s="1063" t="s">
        <v>412</v>
      </c>
      <c r="M121" s="1062">
        <v>200</v>
      </c>
      <c r="N121" s="1062">
        <v>74</v>
      </c>
      <c r="O121" s="3735">
        <f t="shared" si="21"/>
        <v>148</v>
      </c>
      <c r="P121" s="5398" t="s">
        <v>815</v>
      </c>
      <c r="Q121" s="5398"/>
      <c r="R121" s="5398"/>
      <c r="S121" s="2633">
        <v>20</v>
      </c>
      <c r="T121" s="2633">
        <v>26</v>
      </c>
      <c r="U121" s="2633">
        <v>29</v>
      </c>
      <c r="V121" s="1082"/>
      <c r="W121" s="155"/>
      <c r="X121" s="274"/>
      <c r="Y121" s="274"/>
      <c r="Z121" s="274"/>
      <c r="AA121" s="274"/>
      <c r="AB121" s="274"/>
      <c r="AC121" s="155"/>
      <c r="AD121" s="155"/>
      <c r="AG121" s="155"/>
      <c r="AH121" s="231" t="s">
        <v>624</v>
      </c>
      <c r="AI121" s="231" t="s">
        <v>418</v>
      </c>
      <c r="AJ121" s="232" t="s">
        <v>56</v>
      </c>
      <c r="AK121" s="231" t="s">
        <v>472</v>
      </c>
      <c r="AL121" s="245" t="s">
        <v>472</v>
      </c>
      <c r="AM121" s="245" t="s">
        <v>472</v>
      </c>
      <c r="AN121" s="246" t="s">
        <v>472</v>
      </c>
      <c r="AO121" s="247">
        <v>9</v>
      </c>
      <c r="AP121" s="235">
        <f t="shared" si="20"/>
        <v>15.555555555555557</v>
      </c>
      <c r="AQ121" s="235">
        <f t="shared" si="20"/>
        <v>35</v>
      </c>
      <c r="AR121" s="236">
        <v>60</v>
      </c>
      <c r="AS121" s="236">
        <v>95</v>
      </c>
    </row>
    <row r="122" spans="1:45">
      <c r="A122" s="155"/>
      <c r="B122" s="155"/>
      <c r="C122" s="155"/>
      <c r="D122" s="155"/>
      <c r="E122" s="155"/>
      <c r="F122" s="155"/>
      <c r="G122" s="155"/>
      <c r="H122" s="155"/>
      <c r="I122" s="5401"/>
      <c r="J122" s="1062" t="s">
        <v>271</v>
      </c>
      <c r="K122" s="1062">
        <v>265</v>
      </c>
      <c r="L122" s="1063" t="s">
        <v>412</v>
      </c>
      <c r="M122" s="1062">
        <v>1220</v>
      </c>
      <c r="N122" s="1062">
        <v>74</v>
      </c>
      <c r="O122" s="3735">
        <f t="shared" si="21"/>
        <v>902.8</v>
      </c>
      <c r="P122" s="5390" t="s">
        <v>579</v>
      </c>
      <c r="Q122" s="5390"/>
      <c r="R122" s="5390"/>
      <c r="S122" s="2633">
        <v>10</v>
      </c>
      <c r="T122" s="2633">
        <v>13</v>
      </c>
      <c r="U122" s="2633">
        <v>15</v>
      </c>
      <c r="V122" s="1080"/>
      <c r="W122" s="155"/>
      <c r="X122" s="274"/>
      <c r="Y122" s="274"/>
      <c r="Z122" s="274"/>
      <c r="AA122" s="274"/>
      <c r="AB122" s="274"/>
      <c r="AC122" s="155"/>
      <c r="AD122" s="155"/>
      <c r="AG122" s="155"/>
      <c r="AH122" s="231" t="s">
        <v>626</v>
      </c>
      <c r="AI122" s="231" t="s">
        <v>418</v>
      </c>
      <c r="AJ122" s="232" t="s">
        <v>56</v>
      </c>
      <c r="AK122" s="231" t="s">
        <v>396</v>
      </c>
      <c r="AL122" s="233">
        <v>71</v>
      </c>
      <c r="AM122" s="233">
        <v>75</v>
      </c>
      <c r="AN122" s="234">
        <f>(AL122+AM122)/2</f>
        <v>73</v>
      </c>
      <c r="AO122" s="247">
        <v>9</v>
      </c>
      <c r="AP122" s="235">
        <f t="shared" si="20"/>
        <v>8.8888888888888857</v>
      </c>
      <c r="AQ122" s="235">
        <f t="shared" si="20"/>
        <v>13.333333333333336</v>
      </c>
      <c r="AR122" s="236">
        <v>48</v>
      </c>
      <c r="AS122" s="236">
        <v>56</v>
      </c>
    </row>
    <row r="123" spans="1:45" ht="14.1" customHeight="1">
      <c r="A123" s="155"/>
      <c r="B123" s="155"/>
      <c r="C123" s="155"/>
      <c r="D123" s="155"/>
      <c r="E123" s="155"/>
      <c r="F123" s="155"/>
      <c r="G123" s="155"/>
      <c r="H123" s="155"/>
      <c r="I123" s="5401"/>
      <c r="J123" s="1062" t="s">
        <v>525</v>
      </c>
      <c r="K123" s="1062"/>
      <c r="L123" s="1063" t="s">
        <v>412</v>
      </c>
      <c r="M123" s="1067"/>
      <c r="N123" s="1062"/>
      <c r="O123" s="3735">
        <f t="shared" si="21"/>
        <v>0</v>
      </c>
      <c r="P123" s="5399" t="s">
        <v>581</v>
      </c>
      <c r="Q123" s="5399"/>
      <c r="R123" s="5399"/>
      <c r="S123" s="2635"/>
      <c r="T123" s="2635"/>
      <c r="U123" s="2635"/>
      <c r="V123" s="1080"/>
      <c r="W123" s="155"/>
      <c r="X123" s="274"/>
      <c r="Y123" s="274"/>
      <c r="Z123" s="274"/>
      <c r="AA123" s="274"/>
      <c r="AB123" s="274"/>
      <c r="AC123" s="155"/>
      <c r="AD123" s="155"/>
      <c r="AG123" s="155"/>
      <c r="AH123" s="231" t="s">
        <v>628</v>
      </c>
      <c r="AI123" s="231" t="s">
        <v>395</v>
      </c>
      <c r="AJ123" s="232" t="s">
        <v>56</v>
      </c>
      <c r="AK123" s="231" t="s">
        <v>404</v>
      </c>
      <c r="AL123" s="233">
        <v>72</v>
      </c>
      <c r="AM123" s="233">
        <v>77</v>
      </c>
      <c r="AN123" s="234">
        <f>(AL123+AM123)/2</f>
        <v>74.5</v>
      </c>
      <c r="AO123" s="226" t="s">
        <v>397</v>
      </c>
      <c r="AP123" s="235">
        <f t="shared" si="20"/>
        <v>10</v>
      </c>
      <c r="AQ123" s="235">
        <f t="shared" si="20"/>
        <v>12.777777777777779</v>
      </c>
      <c r="AR123" s="236">
        <v>50</v>
      </c>
      <c r="AS123" s="236">
        <v>55</v>
      </c>
    </row>
    <row r="124" spans="1:45" ht="14.1" customHeight="1">
      <c r="A124" s="155"/>
      <c r="B124" s="155"/>
      <c r="C124" s="155"/>
      <c r="D124" s="155"/>
      <c r="E124" s="155"/>
      <c r="F124" s="155"/>
      <c r="G124" s="155"/>
      <c r="H124" s="155"/>
      <c r="I124" s="5401"/>
      <c r="J124" s="1062" t="s">
        <v>525</v>
      </c>
      <c r="K124" s="1062"/>
      <c r="L124" s="1063" t="s">
        <v>412</v>
      </c>
      <c r="M124" s="1067"/>
      <c r="N124" s="1062"/>
      <c r="O124" s="3735">
        <f t="shared" si="21"/>
        <v>0</v>
      </c>
      <c r="P124" s="1064"/>
      <c r="Q124" s="1064"/>
      <c r="R124" s="1064"/>
      <c r="S124" s="2635"/>
      <c r="T124" s="2635"/>
      <c r="U124" s="2635"/>
      <c r="V124" s="1080"/>
      <c r="W124" s="155"/>
      <c r="X124" s="274"/>
      <c r="Y124" s="274"/>
      <c r="Z124" s="274"/>
      <c r="AA124" s="274"/>
      <c r="AB124" s="274"/>
      <c r="AC124" s="155"/>
      <c r="AD124" s="155"/>
      <c r="AG124" s="155"/>
      <c r="AH124" s="231" t="s">
        <v>633</v>
      </c>
      <c r="AI124" s="231" t="s">
        <v>395</v>
      </c>
      <c r="AJ124" s="232" t="s">
        <v>56</v>
      </c>
      <c r="AK124" s="231" t="s">
        <v>396</v>
      </c>
      <c r="AL124" s="233">
        <v>70</v>
      </c>
      <c r="AM124" s="233">
        <v>75</v>
      </c>
      <c r="AN124" s="234">
        <f>(AL124+AM124)/2</f>
        <v>72.5</v>
      </c>
      <c r="AO124" s="226" t="s">
        <v>397</v>
      </c>
      <c r="AP124" s="235">
        <f t="shared" si="20"/>
        <v>19.444444444444443</v>
      </c>
      <c r="AQ124" s="235">
        <f t="shared" si="20"/>
        <v>21.111111111111114</v>
      </c>
      <c r="AR124" s="236">
        <v>67</v>
      </c>
      <c r="AS124" s="236">
        <v>70</v>
      </c>
    </row>
    <row r="125" spans="1:45" ht="14.1" customHeight="1">
      <c r="A125" s="155"/>
      <c r="B125" s="155"/>
      <c r="C125" s="155"/>
      <c r="D125" s="155"/>
      <c r="E125" s="155"/>
      <c r="F125" s="155"/>
      <c r="G125" s="155"/>
      <c r="H125" s="155"/>
      <c r="I125" s="5401"/>
      <c r="J125" s="1062" t="s">
        <v>525</v>
      </c>
      <c r="K125" s="1062"/>
      <c r="L125" s="1063" t="s">
        <v>412</v>
      </c>
      <c r="M125" s="1067"/>
      <c r="N125" s="1062"/>
      <c r="O125" s="3735">
        <f t="shared" si="21"/>
        <v>0</v>
      </c>
      <c r="P125" s="1064"/>
      <c r="Q125" s="1064"/>
      <c r="R125" s="1064"/>
      <c r="S125" s="2635"/>
      <c r="T125" s="2635"/>
      <c r="U125" s="2635"/>
      <c r="V125" s="1080"/>
      <c r="W125" s="155"/>
      <c r="X125" s="274"/>
      <c r="Y125" s="274"/>
      <c r="Z125" s="274"/>
      <c r="AA125" s="274"/>
      <c r="AB125" s="274"/>
      <c r="AC125" s="155"/>
      <c r="AD125" s="155"/>
      <c r="AG125" s="155"/>
      <c r="AH125" s="231" t="s">
        <v>634</v>
      </c>
      <c r="AI125" s="231" t="s">
        <v>418</v>
      </c>
      <c r="AJ125" s="232" t="s">
        <v>56</v>
      </c>
      <c r="AK125" s="231" t="s">
        <v>391</v>
      </c>
      <c r="AL125" s="233">
        <v>68</v>
      </c>
      <c r="AM125" s="233">
        <v>72</v>
      </c>
      <c r="AN125" s="234">
        <f>(AL125+AM125)/2</f>
        <v>70</v>
      </c>
      <c r="AO125" s="247">
        <v>10</v>
      </c>
      <c r="AP125" s="235">
        <f t="shared" si="20"/>
        <v>17.777777777777779</v>
      </c>
      <c r="AQ125" s="235">
        <f t="shared" si="20"/>
        <v>23.333333333333336</v>
      </c>
      <c r="AR125" s="236">
        <v>64</v>
      </c>
      <c r="AS125" s="236">
        <v>74</v>
      </c>
    </row>
    <row r="126" spans="1:45" ht="14.1" customHeight="1">
      <c r="A126" s="155"/>
      <c r="B126" s="155"/>
      <c r="C126" s="155"/>
      <c r="D126" s="155"/>
      <c r="E126" s="155"/>
      <c r="F126" s="155"/>
      <c r="G126" s="155"/>
      <c r="H126" s="155"/>
      <c r="I126" s="5401"/>
      <c r="J126" s="1062" t="s">
        <v>525</v>
      </c>
      <c r="K126" s="1062"/>
      <c r="L126" s="1063" t="s">
        <v>412</v>
      </c>
      <c r="M126" s="1067"/>
      <c r="N126" s="1062"/>
      <c r="O126" s="3735">
        <f t="shared" si="21"/>
        <v>0</v>
      </c>
      <c r="P126" s="1064"/>
      <c r="Q126" s="1064"/>
      <c r="R126" s="1064"/>
      <c r="S126" s="2635"/>
      <c r="T126" s="2635"/>
      <c r="U126" s="2635"/>
      <c r="V126" s="1080"/>
      <c r="W126" s="155"/>
      <c r="X126" s="274"/>
      <c r="Y126" s="274"/>
      <c r="Z126" s="274"/>
      <c r="AA126" s="274"/>
      <c r="AB126" s="274"/>
      <c r="AC126" s="155"/>
      <c r="AD126" s="155"/>
      <c r="AG126" s="155"/>
      <c r="AH126" s="241" t="s">
        <v>635</v>
      </c>
      <c r="AI126" s="231" t="s">
        <v>418</v>
      </c>
      <c r="AJ126" s="232" t="s">
        <v>56</v>
      </c>
      <c r="AK126" s="231" t="s">
        <v>456</v>
      </c>
      <c r="AL126" s="233"/>
      <c r="AM126" s="233"/>
      <c r="AN126" s="234">
        <f t="shared" ref="AN126:AN133" si="22">(AL126+AM126)/2</f>
        <v>0</v>
      </c>
      <c r="AO126" s="247">
        <v>11</v>
      </c>
      <c r="AP126" s="235">
        <f t="shared" si="20"/>
        <v>18.333333333333336</v>
      </c>
      <c r="AQ126" s="235">
        <f t="shared" si="20"/>
        <v>29.444444444444443</v>
      </c>
      <c r="AR126" s="236">
        <v>65</v>
      </c>
      <c r="AS126" s="236">
        <v>85</v>
      </c>
    </row>
    <row r="127" spans="1:45" ht="14.1" customHeight="1">
      <c r="A127" s="155"/>
      <c r="B127" s="155"/>
      <c r="C127" s="155"/>
      <c r="D127" s="155"/>
      <c r="E127" s="155"/>
      <c r="F127" s="155"/>
      <c r="G127" s="155"/>
      <c r="H127" s="155"/>
      <c r="I127" s="5401"/>
      <c r="J127" s="1062" t="s">
        <v>525</v>
      </c>
      <c r="K127" s="1062"/>
      <c r="L127" s="1063" t="s">
        <v>412</v>
      </c>
      <c r="M127" s="1067"/>
      <c r="N127" s="1062"/>
      <c r="O127" s="3735">
        <f t="shared" si="21"/>
        <v>0</v>
      </c>
      <c r="P127" s="1064"/>
      <c r="Q127" s="1064"/>
      <c r="R127" s="1064"/>
      <c r="S127" s="2635"/>
      <c r="T127" s="2635"/>
      <c r="U127" s="2635"/>
      <c r="V127" s="1080"/>
      <c r="W127" s="155"/>
      <c r="X127" s="274"/>
      <c r="Y127" s="274"/>
      <c r="Z127" s="274"/>
      <c r="AA127" s="274"/>
      <c r="AB127" s="274"/>
      <c r="AC127" s="155"/>
      <c r="AD127" s="155"/>
      <c r="AG127" s="155"/>
      <c r="AH127" s="231" t="s">
        <v>636</v>
      </c>
      <c r="AI127" s="231" t="s">
        <v>637</v>
      </c>
      <c r="AJ127" s="278" t="s">
        <v>504</v>
      </c>
      <c r="AK127" s="231" t="s">
        <v>391</v>
      </c>
      <c r="AL127" s="233"/>
      <c r="AM127" s="233"/>
      <c r="AN127" s="234">
        <f t="shared" si="22"/>
        <v>0</v>
      </c>
      <c r="AO127" s="247" t="s">
        <v>412</v>
      </c>
      <c r="AP127" s="235">
        <f>((AR127+40)*5/9)-40</f>
        <v>12.222222222222221</v>
      </c>
      <c r="AQ127" s="235">
        <f>((AS127+40)*5/9)-40</f>
        <v>25</v>
      </c>
      <c r="AR127" s="236">
        <v>54</v>
      </c>
      <c r="AS127" s="236">
        <v>77</v>
      </c>
    </row>
    <row r="128" spans="1:45" ht="14.1" customHeight="1">
      <c r="A128" s="155"/>
      <c r="B128" s="155"/>
      <c r="C128" s="155"/>
      <c r="D128" s="155"/>
      <c r="E128" s="155"/>
      <c r="F128" s="155"/>
      <c r="G128" s="155"/>
      <c r="H128" s="155"/>
      <c r="I128" s="5401"/>
      <c r="J128" s="1062" t="s">
        <v>525</v>
      </c>
      <c r="K128" s="1062"/>
      <c r="L128" s="1063" t="s">
        <v>412</v>
      </c>
      <c r="M128" s="1067"/>
      <c r="N128" s="1062"/>
      <c r="O128" s="3735">
        <f t="shared" si="21"/>
        <v>0</v>
      </c>
      <c r="P128" s="1064"/>
      <c r="Q128" s="1064"/>
      <c r="R128" s="1064"/>
      <c r="S128" s="2635"/>
      <c r="T128" s="2635"/>
      <c r="U128" s="2635"/>
      <c r="V128" s="1080"/>
      <c r="W128" s="155"/>
      <c r="X128" s="274"/>
      <c r="Y128" s="274"/>
      <c r="Z128" s="274"/>
      <c r="AA128" s="274"/>
      <c r="AB128" s="274"/>
      <c r="AC128" s="155"/>
      <c r="AD128" s="155"/>
      <c r="AG128" s="155"/>
      <c r="AH128" s="231"/>
      <c r="AI128" s="231"/>
      <c r="AJ128" s="232"/>
      <c r="AK128" s="231"/>
      <c r="AL128" s="245"/>
      <c r="AM128" s="245"/>
      <c r="AN128" s="234">
        <f t="shared" si="22"/>
        <v>0</v>
      </c>
      <c r="AO128" s="247"/>
      <c r="AP128" s="235">
        <f t="shared" ref="AP128:AP133" si="23">((AR128+40)*5/9)-40</f>
        <v>-17.777777777777779</v>
      </c>
      <c r="AQ128" s="235">
        <f t="shared" ref="AQ128:AQ133" si="24">((AS128+40)*5/9)-40</f>
        <v>-17.777777777777779</v>
      </c>
      <c r="AR128" s="236"/>
      <c r="AS128" s="236"/>
    </row>
    <row r="129" spans="1:45" ht="14.1" customHeight="1">
      <c r="A129" s="155"/>
      <c r="B129" s="155"/>
      <c r="C129" s="155"/>
      <c r="D129" s="155"/>
      <c r="E129" s="155"/>
      <c r="F129" s="155"/>
      <c r="G129" s="155"/>
      <c r="H129" s="155"/>
      <c r="I129" s="5401"/>
      <c r="J129" s="1062" t="s">
        <v>525</v>
      </c>
      <c r="K129" s="1062"/>
      <c r="L129" s="1063" t="s">
        <v>412</v>
      </c>
      <c r="M129" s="1067"/>
      <c r="N129" s="1062"/>
      <c r="O129" s="3735">
        <f t="shared" si="21"/>
        <v>0</v>
      </c>
      <c r="P129" s="1064"/>
      <c r="Q129" s="1064"/>
      <c r="R129" s="1064"/>
      <c r="S129" s="2635"/>
      <c r="T129" s="2635"/>
      <c r="U129" s="2635"/>
      <c r="V129" s="1080"/>
      <c r="W129" s="155"/>
      <c r="X129" s="274"/>
      <c r="Y129" s="274"/>
      <c r="Z129" s="274"/>
      <c r="AA129" s="274"/>
      <c r="AB129" s="274"/>
      <c r="AC129" s="155"/>
      <c r="AD129" s="155"/>
      <c r="AG129" s="155"/>
      <c r="AH129" s="231"/>
      <c r="AI129" s="231"/>
      <c r="AJ129" s="232"/>
      <c r="AK129" s="231"/>
      <c r="AL129" s="245"/>
      <c r="AM129" s="245"/>
      <c r="AN129" s="234">
        <f t="shared" si="22"/>
        <v>0</v>
      </c>
      <c r="AO129" s="247"/>
      <c r="AP129" s="235">
        <f t="shared" si="23"/>
        <v>-17.777777777777779</v>
      </c>
      <c r="AQ129" s="235">
        <f t="shared" si="24"/>
        <v>-17.777777777777779</v>
      </c>
      <c r="AR129" s="236"/>
      <c r="AS129" s="236"/>
    </row>
    <row r="130" spans="1:45" ht="13.5" customHeight="1">
      <c r="A130" s="155"/>
      <c r="B130" s="155"/>
      <c r="C130" s="155"/>
      <c r="D130" s="155"/>
      <c r="E130" s="155"/>
      <c r="F130" s="155"/>
      <c r="G130" s="155"/>
      <c r="H130" s="155"/>
      <c r="I130" s="1057"/>
      <c r="J130" s="1064"/>
      <c r="K130" s="1064"/>
      <c r="L130" s="1064"/>
      <c r="M130" s="1064"/>
      <c r="N130" s="1064"/>
      <c r="O130" s="1059"/>
      <c r="P130" s="1064"/>
      <c r="Q130" s="1064"/>
      <c r="R130" s="1064"/>
      <c r="S130" s="2635"/>
      <c r="T130" s="2635"/>
      <c r="U130" s="2635"/>
      <c r="V130" s="1080"/>
      <c r="W130" s="155"/>
      <c r="X130" s="274"/>
      <c r="Y130" s="274"/>
      <c r="Z130" s="274"/>
      <c r="AA130" s="274"/>
      <c r="AB130" s="274"/>
      <c r="AC130" s="155"/>
      <c r="AD130" s="155"/>
      <c r="AG130" s="155"/>
      <c r="AH130" s="231"/>
      <c r="AI130" s="231"/>
      <c r="AJ130" s="232"/>
      <c r="AK130" s="231"/>
      <c r="AL130" s="245"/>
      <c r="AM130" s="245"/>
      <c r="AN130" s="234">
        <f t="shared" si="22"/>
        <v>0</v>
      </c>
      <c r="AO130" s="247"/>
      <c r="AP130" s="235">
        <f t="shared" si="23"/>
        <v>-17.777777777777779</v>
      </c>
      <c r="AQ130" s="235">
        <f t="shared" si="24"/>
        <v>-17.777777777777779</v>
      </c>
      <c r="AR130" s="236"/>
      <c r="AS130" s="236"/>
    </row>
    <row r="131" spans="1:45" ht="14.1" customHeight="1">
      <c r="A131" s="155"/>
      <c r="B131" s="155"/>
      <c r="C131" s="155"/>
      <c r="D131" s="155"/>
      <c r="E131" s="155"/>
      <c r="F131" s="155"/>
      <c r="G131" s="155"/>
      <c r="H131" s="155"/>
      <c r="I131" s="5388" t="s">
        <v>585</v>
      </c>
      <c r="J131" s="1062" t="s">
        <v>274</v>
      </c>
      <c r="K131" s="1076">
        <v>375</v>
      </c>
      <c r="L131" s="1062">
        <v>1</v>
      </c>
      <c r="M131" s="1062"/>
      <c r="N131" s="1062">
        <v>100</v>
      </c>
      <c r="O131" s="3735">
        <f t="shared" ref="O131:O139" si="25">(N131*M131)/100</f>
        <v>0</v>
      </c>
      <c r="P131" s="1083"/>
      <c r="Q131" s="1059"/>
      <c r="R131" s="1059"/>
      <c r="S131" s="2639">
        <v>30</v>
      </c>
      <c r="T131" s="2639">
        <v>39</v>
      </c>
      <c r="U131" s="2639">
        <v>44</v>
      </c>
      <c r="V131" s="1080"/>
      <c r="W131" s="155"/>
      <c r="X131" s="274"/>
      <c r="Y131" s="274"/>
      <c r="Z131" s="274"/>
      <c r="AA131" s="274"/>
      <c r="AB131" s="274"/>
      <c r="AC131" s="155"/>
      <c r="AD131" s="155"/>
      <c r="AG131" s="155"/>
      <c r="AH131" s="231"/>
      <c r="AI131" s="231"/>
      <c r="AJ131" s="232"/>
      <c r="AK131" s="231"/>
      <c r="AL131" s="245"/>
      <c r="AM131" s="245"/>
      <c r="AN131" s="234">
        <f t="shared" si="22"/>
        <v>0</v>
      </c>
      <c r="AO131" s="247"/>
      <c r="AP131" s="235">
        <f t="shared" si="23"/>
        <v>-17.777777777777779</v>
      </c>
      <c r="AQ131" s="235">
        <f t="shared" si="24"/>
        <v>-17.777777777777779</v>
      </c>
      <c r="AR131" s="236"/>
      <c r="AS131" s="236"/>
    </row>
    <row r="132" spans="1:45" ht="14.1" customHeight="1">
      <c r="A132" s="155"/>
      <c r="B132" s="155"/>
      <c r="C132" s="155"/>
      <c r="D132" s="155"/>
      <c r="E132" s="155"/>
      <c r="F132" s="155"/>
      <c r="G132" s="155"/>
      <c r="H132" s="155"/>
      <c r="I132" s="5388"/>
      <c r="J132" s="1062" t="s">
        <v>275</v>
      </c>
      <c r="K132" s="1076">
        <v>370</v>
      </c>
      <c r="L132" s="1062">
        <v>1</v>
      </c>
      <c r="M132" s="1062">
        <v>16</v>
      </c>
      <c r="N132" s="1062">
        <v>100</v>
      </c>
      <c r="O132" s="3735">
        <f t="shared" si="25"/>
        <v>16</v>
      </c>
      <c r="P132" s="1064"/>
      <c r="Q132" s="1059"/>
      <c r="R132" s="1059"/>
      <c r="S132" s="2639"/>
      <c r="T132" s="2639"/>
      <c r="U132" s="2639"/>
      <c r="V132" s="1080"/>
      <c r="W132" s="155"/>
      <c r="X132" s="274"/>
      <c r="Y132" s="274"/>
      <c r="Z132" s="274"/>
      <c r="AA132" s="274"/>
      <c r="AB132" s="274"/>
      <c r="AC132" s="287"/>
      <c r="AD132" s="155"/>
      <c r="AG132" s="155"/>
      <c r="AH132" s="231"/>
      <c r="AI132" s="231"/>
      <c r="AJ132" s="232"/>
      <c r="AK132" s="231"/>
      <c r="AL132" s="245"/>
      <c r="AM132" s="245"/>
      <c r="AN132" s="234">
        <f t="shared" si="22"/>
        <v>0</v>
      </c>
      <c r="AO132" s="247"/>
      <c r="AP132" s="235">
        <f t="shared" si="23"/>
        <v>-17.777777777777779</v>
      </c>
      <c r="AQ132" s="235">
        <f t="shared" si="24"/>
        <v>-17.777777777777779</v>
      </c>
      <c r="AR132" s="236"/>
      <c r="AS132" s="236"/>
    </row>
    <row r="133" spans="1:45" ht="14.1" customHeight="1">
      <c r="A133" s="155"/>
      <c r="B133" s="155"/>
      <c r="C133" s="155"/>
      <c r="D133" s="155"/>
      <c r="E133" s="155"/>
      <c r="F133" s="155"/>
      <c r="G133" s="155"/>
      <c r="H133" s="155"/>
      <c r="I133" s="5388"/>
      <c r="J133" s="1062" t="s">
        <v>276</v>
      </c>
      <c r="K133" s="1076">
        <v>370</v>
      </c>
      <c r="L133" s="1062">
        <v>1</v>
      </c>
      <c r="M133" s="1062">
        <v>45</v>
      </c>
      <c r="N133" s="1062">
        <v>100</v>
      </c>
      <c r="O133" s="3735">
        <f t="shared" si="25"/>
        <v>45</v>
      </c>
      <c r="P133" s="1064"/>
      <c r="Q133" s="1059"/>
      <c r="R133" s="1059"/>
      <c r="S133" s="2636"/>
      <c r="T133" s="2636"/>
      <c r="U133" s="2636"/>
      <c r="V133" s="1080"/>
      <c r="W133" s="155"/>
      <c r="X133" s="274"/>
      <c r="Y133" s="274"/>
      <c r="Z133" s="274"/>
      <c r="AA133" s="274"/>
      <c r="AB133" s="274"/>
      <c r="AC133" s="155"/>
      <c r="AD133" s="288"/>
      <c r="AG133" s="155"/>
      <c r="AH133" s="231"/>
      <c r="AI133" s="231"/>
      <c r="AJ133" s="232"/>
      <c r="AK133" s="231"/>
      <c r="AL133" s="245"/>
      <c r="AM133" s="245"/>
      <c r="AN133" s="234">
        <f t="shared" si="22"/>
        <v>0</v>
      </c>
      <c r="AO133" s="247"/>
      <c r="AP133" s="235">
        <f t="shared" si="23"/>
        <v>-17.777777777777779</v>
      </c>
      <c r="AQ133" s="235">
        <f t="shared" si="24"/>
        <v>-17.777777777777779</v>
      </c>
      <c r="AR133" s="236"/>
      <c r="AS133" s="236"/>
    </row>
    <row r="134" spans="1:45" ht="14.1" customHeight="1">
      <c r="A134" s="155"/>
      <c r="B134" s="155"/>
      <c r="C134" s="155"/>
      <c r="D134" s="155"/>
      <c r="E134" s="155"/>
      <c r="F134" s="155"/>
      <c r="G134" s="155"/>
      <c r="H134" s="155"/>
      <c r="I134" s="5388"/>
      <c r="J134" s="1062" t="s">
        <v>277</v>
      </c>
      <c r="K134" s="1076">
        <v>370</v>
      </c>
      <c r="L134" s="1062">
        <v>1</v>
      </c>
      <c r="M134" s="1062">
        <v>90</v>
      </c>
      <c r="N134" s="1062">
        <v>100</v>
      </c>
      <c r="O134" s="3735">
        <f t="shared" si="25"/>
        <v>90</v>
      </c>
      <c r="P134" s="1059"/>
      <c r="Q134" s="1059"/>
      <c r="R134" s="1059"/>
      <c r="S134" s="1068"/>
      <c r="T134" s="1068"/>
      <c r="U134" s="1068"/>
      <c r="V134" s="1080"/>
      <c r="W134" s="106"/>
      <c r="X134" s="2568"/>
      <c r="Y134" s="2568"/>
      <c r="Z134" s="2568"/>
      <c r="AA134" s="2568"/>
      <c r="AB134" s="2568"/>
      <c r="AC134" s="106"/>
      <c r="AD134" s="143"/>
      <c r="AE134" s="313"/>
      <c r="AF134" s="313"/>
      <c r="AG134" s="106"/>
      <c r="AH134" s="313"/>
      <c r="AI134" s="313"/>
      <c r="AJ134" s="313"/>
      <c r="AK134" s="313"/>
      <c r="AL134" s="313"/>
      <c r="AM134" s="313"/>
      <c r="AN134" s="313"/>
      <c r="AO134" s="313"/>
      <c r="AP134" s="313"/>
      <c r="AQ134" s="313"/>
      <c r="AR134" s="313"/>
      <c r="AS134" s="313"/>
    </row>
    <row r="135" spans="1:45" ht="14.1" customHeight="1">
      <c r="A135" s="155"/>
      <c r="B135" s="155"/>
      <c r="C135" s="155"/>
      <c r="D135" s="155"/>
      <c r="E135" s="155"/>
      <c r="F135" s="155"/>
      <c r="G135" s="155"/>
      <c r="H135" s="155"/>
      <c r="I135" s="5388"/>
      <c r="J135" s="1062" t="s">
        <v>1807</v>
      </c>
      <c r="K135" s="1076">
        <v>319</v>
      </c>
      <c r="L135" s="1062">
        <v>0.8</v>
      </c>
      <c r="M135" s="1062"/>
      <c r="N135" s="1062">
        <v>100</v>
      </c>
      <c r="O135" s="3735">
        <f t="shared" si="25"/>
        <v>0</v>
      </c>
      <c r="P135" s="1059"/>
      <c r="Q135" s="1059"/>
      <c r="R135" s="1059"/>
      <c r="S135" s="1068"/>
      <c r="T135" s="1068"/>
      <c r="U135" s="1068"/>
      <c r="V135" s="1080"/>
      <c r="W135" s="106"/>
      <c r="X135" s="2568"/>
      <c r="Y135" s="2568"/>
      <c r="Z135" s="2568"/>
      <c r="AA135" s="2568"/>
      <c r="AB135" s="2568"/>
      <c r="AC135" s="106"/>
      <c r="AD135" s="143"/>
      <c r="AE135" s="313"/>
      <c r="AF135" s="313"/>
      <c r="AG135" s="106"/>
      <c r="AH135" s="313"/>
      <c r="AI135" s="313"/>
      <c r="AJ135" s="313"/>
      <c r="AK135" s="313"/>
      <c r="AL135" s="313"/>
      <c r="AM135" s="313"/>
      <c r="AN135" s="313"/>
      <c r="AO135" s="313"/>
      <c r="AP135" s="313"/>
      <c r="AQ135" s="313"/>
      <c r="AR135" s="313"/>
      <c r="AS135" s="313"/>
    </row>
    <row r="136" spans="1:45" ht="13.35" customHeight="1">
      <c r="A136" s="155"/>
      <c r="B136" s="155"/>
      <c r="C136" s="155"/>
      <c r="D136" s="155"/>
      <c r="E136" s="155"/>
      <c r="F136" s="155"/>
      <c r="G136" s="155"/>
      <c r="H136" s="155"/>
      <c r="I136" s="5388"/>
      <c r="J136" s="1084" t="s">
        <v>279</v>
      </c>
      <c r="K136" s="1085">
        <f>0.8*375</f>
        <v>300</v>
      </c>
      <c r="L136" s="1081">
        <v>0.95</v>
      </c>
      <c r="M136" s="1062">
        <v>10</v>
      </c>
      <c r="N136" s="1062">
        <v>100</v>
      </c>
      <c r="O136" s="3735">
        <f t="shared" si="25"/>
        <v>10</v>
      </c>
      <c r="P136" s="1059"/>
      <c r="Q136" s="1059"/>
      <c r="R136" s="1059"/>
      <c r="S136" s="1068"/>
      <c r="T136" s="1068"/>
      <c r="U136" s="1068"/>
      <c r="V136" s="1080"/>
      <c r="W136" s="106"/>
      <c r="X136" s="2568"/>
      <c r="Y136" s="2568"/>
      <c r="Z136" s="2568"/>
      <c r="AA136" s="2568"/>
      <c r="AB136" s="2568"/>
      <c r="AC136" s="106"/>
      <c r="AD136" s="143"/>
      <c r="AE136" s="313"/>
      <c r="AF136" s="313"/>
      <c r="AG136" s="106"/>
      <c r="AH136" s="313"/>
      <c r="AI136" s="313"/>
      <c r="AJ136" s="313"/>
      <c r="AK136" s="313"/>
      <c r="AL136" s="313"/>
      <c r="AM136" s="313"/>
      <c r="AN136" s="313"/>
      <c r="AO136" s="313"/>
      <c r="AP136" s="313"/>
      <c r="AQ136" s="313"/>
      <c r="AR136" s="313"/>
      <c r="AS136" s="313"/>
    </row>
    <row r="137" spans="1:45" ht="14.1" customHeight="1">
      <c r="A137" s="155"/>
      <c r="B137" s="155"/>
      <c r="C137" s="155"/>
      <c r="D137" s="155"/>
      <c r="E137" s="155"/>
      <c r="F137" s="155"/>
      <c r="G137" s="155"/>
      <c r="H137" s="155"/>
      <c r="I137" s="5388"/>
      <c r="J137" s="1062" t="s">
        <v>278</v>
      </c>
      <c r="K137" s="1076">
        <v>360</v>
      </c>
      <c r="L137" s="1081">
        <v>0.95</v>
      </c>
      <c r="M137" s="1062"/>
      <c r="N137" s="1062">
        <v>100</v>
      </c>
      <c r="O137" s="3735">
        <f t="shared" si="25"/>
        <v>0</v>
      </c>
      <c r="P137" s="1059"/>
      <c r="Q137" s="1059"/>
      <c r="R137" s="1059"/>
      <c r="S137" s="1068"/>
      <c r="T137" s="1068"/>
      <c r="U137" s="1068"/>
      <c r="V137" s="1080"/>
      <c r="W137" s="106"/>
      <c r="X137" s="2568"/>
      <c r="Y137" s="2568"/>
      <c r="Z137" s="2568"/>
      <c r="AA137" s="2568"/>
      <c r="AB137" s="2568"/>
      <c r="AC137" s="2568"/>
      <c r="AD137" s="2568"/>
      <c r="AE137" s="313"/>
      <c r="AF137" s="313"/>
      <c r="AG137" s="106"/>
      <c r="AH137" s="313"/>
      <c r="AI137" s="313"/>
      <c r="AJ137" s="313"/>
      <c r="AK137" s="313"/>
      <c r="AL137" s="313"/>
      <c r="AM137" s="313"/>
      <c r="AN137" s="313"/>
      <c r="AO137" s="313"/>
      <c r="AP137" s="313"/>
      <c r="AQ137" s="313"/>
      <c r="AR137" s="313"/>
      <c r="AS137" s="313"/>
    </row>
    <row r="138" spans="1:45" ht="14.1" customHeight="1">
      <c r="A138" s="155"/>
      <c r="B138" s="155"/>
      <c r="C138" s="155"/>
      <c r="D138" s="155"/>
      <c r="E138" s="155"/>
      <c r="F138" s="155"/>
      <c r="G138" s="155"/>
      <c r="H138" s="106"/>
      <c r="I138" s="5388"/>
      <c r="J138" s="1086" t="s">
        <v>593</v>
      </c>
      <c r="K138" s="1076">
        <v>380</v>
      </c>
      <c r="L138" s="1062">
        <v>0</v>
      </c>
      <c r="M138" s="1062">
        <v>30</v>
      </c>
      <c r="N138" s="1062">
        <v>100</v>
      </c>
      <c r="O138" s="3735">
        <f t="shared" si="25"/>
        <v>30</v>
      </c>
      <c r="P138" s="1059"/>
      <c r="Q138" s="1059"/>
      <c r="R138" s="1059"/>
      <c r="S138" s="1068"/>
      <c r="T138" s="1068"/>
      <c r="U138" s="1068"/>
      <c r="V138" s="1080"/>
      <c r="W138" s="106"/>
      <c r="X138" s="106"/>
      <c r="Y138" s="106"/>
      <c r="Z138" s="106"/>
      <c r="AA138" s="106"/>
      <c r="AB138" s="106"/>
      <c r="AC138" s="106"/>
      <c r="AD138" s="143"/>
      <c r="AE138" s="313"/>
      <c r="AF138" s="313"/>
      <c r="AG138" s="106"/>
      <c r="AH138" s="313"/>
      <c r="AI138" s="313"/>
      <c r="AJ138" s="313"/>
      <c r="AK138" s="313"/>
      <c r="AL138" s="313"/>
      <c r="AM138" s="313"/>
      <c r="AN138" s="313"/>
      <c r="AO138" s="313"/>
      <c r="AP138" s="313"/>
      <c r="AQ138" s="313"/>
      <c r="AR138" s="313"/>
      <c r="AS138" s="313"/>
    </row>
    <row r="139" spans="1:45" ht="13.35" customHeight="1">
      <c r="A139" s="155"/>
      <c r="B139" s="155"/>
      <c r="C139" s="155"/>
      <c r="D139" s="155"/>
      <c r="E139" s="155"/>
      <c r="F139" s="155"/>
      <c r="G139" s="155"/>
      <c r="H139" s="106"/>
      <c r="I139" s="5388"/>
      <c r="J139" s="1062" t="s">
        <v>595</v>
      </c>
      <c r="K139" s="1076">
        <v>319</v>
      </c>
      <c r="L139" s="1062">
        <v>0.35</v>
      </c>
      <c r="M139" s="1062"/>
      <c r="N139" s="1062">
        <v>100</v>
      </c>
      <c r="O139" s="3735">
        <f t="shared" si="25"/>
        <v>0</v>
      </c>
      <c r="P139" s="1059"/>
      <c r="Q139" s="1059"/>
      <c r="R139" s="1059"/>
      <c r="S139" s="1068"/>
      <c r="T139" s="1068"/>
      <c r="U139" s="1068"/>
      <c r="V139" s="1066"/>
      <c r="W139" s="106"/>
      <c r="X139" s="106"/>
      <c r="Y139" s="106"/>
      <c r="Z139" s="106"/>
      <c r="AA139" s="106"/>
      <c r="AB139" s="106"/>
      <c r="AC139" s="4426" t="s">
        <v>231</v>
      </c>
      <c r="AD139" s="4426"/>
      <c r="AE139" s="313"/>
      <c r="AF139" s="313"/>
      <c r="AG139" s="106"/>
      <c r="AH139" s="313"/>
      <c r="AI139" s="313"/>
      <c r="AJ139" s="313"/>
      <c r="AK139" s="313"/>
      <c r="AL139" s="313"/>
      <c r="AM139" s="313"/>
      <c r="AN139" s="313"/>
      <c r="AO139" s="313"/>
      <c r="AP139" s="313"/>
      <c r="AQ139" s="313"/>
      <c r="AR139" s="313"/>
      <c r="AS139" s="313"/>
    </row>
    <row r="140" spans="1:45" ht="15" customHeight="1">
      <c r="A140" s="155"/>
      <c r="B140" s="155"/>
      <c r="C140" s="155"/>
      <c r="D140" s="155"/>
      <c r="E140" s="155"/>
      <c r="F140" s="155"/>
      <c r="G140" s="155"/>
      <c r="H140" s="106"/>
      <c r="I140" s="5388"/>
      <c r="J140" s="1062" t="s">
        <v>525</v>
      </c>
      <c r="K140" s="1062"/>
      <c r="L140" s="1063"/>
      <c r="M140" s="1067"/>
      <c r="N140" s="1062"/>
      <c r="O140" s="3735">
        <f t="shared" ref="O140:O148" si="26">(N140*M140)/100</f>
        <v>0</v>
      </c>
      <c r="P140" s="1059"/>
      <c r="Q140" s="1059"/>
      <c r="R140" s="1059"/>
      <c r="S140" s="1068"/>
      <c r="T140" s="1068"/>
      <c r="U140" s="1068"/>
      <c r="V140" s="1066"/>
      <c r="W140" s="5480" t="s">
        <v>643</v>
      </c>
      <c r="X140" s="5480"/>
      <c r="Y140" s="5480"/>
      <c r="Z140" s="3899" t="s">
        <v>644</v>
      </c>
      <c r="AA140" s="3899"/>
      <c r="AB140" s="3899"/>
      <c r="AC140" s="2550" t="s">
        <v>1</v>
      </c>
      <c r="AD140" s="106"/>
      <c r="AE140" s="313"/>
      <c r="AF140" s="313"/>
      <c r="AG140" s="106"/>
      <c r="AH140" s="313"/>
      <c r="AI140" s="313"/>
      <c r="AJ140" s="313"/>
      <c r="AK140" s="313"/>
      <c r="AL140" s="313"/>
      <c r="AM140" s="313"/>
      <c r="AN140" s="313"/>
      <c r="AO140" s="313"/>
      <c r="AP140" s="313"/>
      <c r="AQ140" s="313"/>
      <c r="AR140" s="313"/>
      <c r="AS140" s="313"/>
    </row>
    <row r="141" spans="1:45" ht="17.25" customHeight="1">
      <c r="A141" s="155"/>
      <c r="B141" s="155"/>
      <c r="C141" s="155"/>
      <c r="D141" s="155"/>
      <c r="E141" s="155"/>
      <c r="F141" s="155"/>
      <c r="G141" s="155"/>
      <c r="H141" s="106"/>
      <c r="I141" s="5388"/>
      <c r="J141" s="419" t="s">
        <v>598</v>
      </c>
      <c r="K141" s="1087">
        <v>373</v>
      </c>
      <c r="L141" s="419">
        <v>1</v>
      </c>
      <c r="M141" s="419">
        <v>0</v>
      </c>
      <c r="N141" s="419">
        <v>100</v>
      </c>
      <c r="O141" s="3736">
        <f t="shared" si="26"/>
        <v>0</v>
      </c>
      <c r="P141" s="308"/>
      <c r="Q141" s="308"/>
      <c r="R141" s="308"/>
      <c r="S141" s="2633">
        <v>20</v>
      </c>
      <c r="T141" s="2633">
        <v>26</v>
      </c>
      <c r="U141" s="2640">
        <v>29</v>
      </c>
      <c r="V141" s="1066"/>
      <c r="W141" s="5480"/>
      <c r="X141" s="5480"/>
      <c r="Y141" s="5480"/>
      <c r="Z141" s="3899" t="s">
        <v>234</v>
      </c>
      <c r="AA141" s="3899"/>
      <c r="AB141" s="3899"/>
      <c r="AC141" s="2550" t="s">
        <v>235</v>
      </c>
      <c r="AD141" s="106"/>
      <c r="AE141" s="313"/>
      <c r="AF141" s="313"/>
      <c r="AG141" s="106"/>
      <c r="AH141" s="313"/>
      <c r="AI141" s="313"/>
      <c r="AJ141" s="313"/>
      <c r="AK141" s="313"/>
      <c r="AL141" s="313"/>
      <c r="AM141" s="313"/>
      <c r="AN141" s="313"/>
      <c r="AO141" s="313"/>
      <c r="AP141" s="313"/>
      <c r="AQ141" s="313"/>
      <c r="AR141" s="313"/>
      <c r="AS141" s="313"/>
    </row>
    <row r="142" spans="1:45" ht="15.75" customHeight="1">
      <c r="A142" s="155"/>
      <c r="B142" s="155"/>
      <c r="C142" s="155"/>
      <c r="D142" s="155"/>
      <c r="E142" s="155"/>
      <c r="F142" s="155"/>
      <c r="G142" s="155"/>
      <c r="H142" s="106"/>
      <c r="I142" s="5388"/>
      <c r="J142" s="419" t="s">
        <v>600</v>
      </c>
      <c r="K142" s="1087">
        <v>373</v>
      </c>
      <c r="L142" s="419">
        <v>1</v>
      </c>
      <c r="M142" s="419">
        <v>13</v>
      </c>
      <c r="N142" s="419">
        <v>100</v>
      </c>
      <c r="O142" s="3736">
        <f t="shared" si="26"/>
        <v>13</v>
      </c>
      <c r="P142" s="308"/>
      <c r="Q142" s="308"/>
      <c r="R142" s="308"/>
      <c r="S142" s="2633"/>
      <c r="T142" s="2636"/>
      <c r="U142" s="2641"/>
      <c r="V142" s="1066"/>
      <c r="W142" s="106"/>
      <c r="X142" s="106"/>
      <c r="Y142" s="492"/>
      <c r="Z142" s="492"/>
      <c r="AA142" s="492"/>
      <c r="AB142" s="106"/>
      <c r="AC142" s="106"/>
      <c r="AD142" s="106"/>
      <c r="AE142" s="313"/>
      <c r="AF142" s="313"/>
      <c r="AG142" s="106"/>
      <c r="AH142" s="77"/>
      <c r="AI142" s="2569"/>
      <c r="AJ142" s="2569"/>
      <c r="AK142" s="77"/>
      <c r="AL142" s="2569"/>
      <c r="AM142" s="2570"/>
      <c r="AN142" s="2571"/>
      <c r="AO142" s="2572"/>
      <c r="AP142" s="524"/>
      <c r="AQ142" s="524"/>
      <c r="AR142" s="524"/>
      <c r="AS142" s="524"/>
    </row>
    <row r="143" spans="1:45">
      <c r="I143" s="5388"/>
      <c r="J143" s="419" t="s">
        <v>602</v>
      </c>
      <c r="K143" s="1087">
        <v>373</v>
      </c>
      <c r="L143" s="419">
        <v>1</v>
      </c>
      <c r="M143" s="419">
        <v>43</v>
      </c>
      <c r="N143" s="419">
        <v>100</v>
      </c>
      <c r="O143" s="3736">
        <f t="shared" si="26"/>
        <v>43</v>
      </c>
      <c r="P143" s="308"/>
      <c r="Q143" s="308"/>
      <c r="R143" s="308"/>
      <c r="S143" s="2633"/>
      <c r="T143" s="2636"/>
      <c r="U143" s="2641"/>
      <c r="V143" s="1066"/>
      <c r="W143" s="313"/>
      <c r="X143" s="313"/>
      <c r="Y143" s="313"/>
      <c r="Z143" s="313"/>
      <c r="AA143" s="313"/>
      <c r="AB143" s="313"/>
      <c r="AC143" s="313"/>
      <c r="AD143" s="313"/>
      <c r="AE143" s="313"/>
      <c r="AF143" s="313"/>
      <c r="AG143" s="313"/>
      <c r="AH143" s="77"/>
      <c r="AI143" s="2569"/>
      <c r="AJ143" s="2569"/>
      <c r="AK143" s="77"/>
      <c r="AL143" s="2569"/>
      <c r="AM143" s="2570"/>
      <c r="AN143" s="2571"/>
      <c r="AO143" s="2572"/>
      <c r="AP143" s="524"/>
      <c r="AQ143" s="524"/>
      <c r="AR143" s="524"/>
      <c r="AS143" s="524"/>
    </row>
    <row r="144" spans="1:45">
      <c r="I144" s="5388"/>
      <c r="J144" s="1062" t="s">
        <v>525</v>
      </c>
      <c r="K144" s="1062"/>
      <c r="L144" s="1063"/>
      <c r="M144" s="1067"/>
      <c r="N144" s="1062"/>
      <c r="O144" s="3735">
        <f t="shared" si="26"/>
        <v>0</v>
      </c>
      <c r="P144" s="2635"/>
      <c r="Q144" s="2635"/>
      <c r="R144" s="2635"/>
      <c r="S144" s="2633"/>
      <c r="T144" s="2636"/>
      <c r="U144" s="2641"/>
      <c r="V144" s="1066"/>
      <c r="W144" s="313"/>
      <c r="X144" s="313"/>
      <c r="Y144" s="313"/>
      <c r="Z144" s="313"/>
      <c r="AA144" s="313"/>
      <c r="AB144" s="313"/>
      <c r="AC144" s="313"/>
      <c r="AD144" s="313"/>
      <c r="AE144" s="313"/>
      <c r="AF144" s="313"/>
      <c r="AG144" s="313"/>
      <c r="AH144" s="77"/>
      <c r="AI144" s="2569"/>
      <c r="AJ144" s="2569"/>
      <c r="AK144" s="77"/>
      <c r="AL144" s="2569"/>
      <c r="AM144" s="2570"/>
      <c r="AN144" s="2571"/>
      <c r="AO144" s="2572"/>
      <c r="AP144" s="524"/>
      <c r="AQ144" s="524"/>
      <c r="AR144" s="524"/>
      <c r="AS144" s="524"/>
    </row>
    <row r="145" spans="9:45">
      <c r="I145" s="5388"/>
      <c r="J145" s="419" t="s">
        <v>606</v>
      </c>
      <c r="K145" s="1087">
        <v>300</v>
      </c>
      <c r="L145" s="419">
        <v>1</v>
      </c>
      <c r="M145" s="419">
        <v>2</v>
      </c>
      <c r="N145" s="419">
        <v>100</v>
      </c>
      <c r="O145" s="3736">
        <f t="shared" si="26"/>
        <v>2</v>
      </c>
      <c r="P145" s="308"/>
      <c r="Q145" s="308"/>
      <c r="R145" s="308"/>
      <c r="S145" s="2633"/>
      <c r="T145" s="2636"/>
      <c r="U145" s="2641"/>
      <c r="V145" s="1089"/>
      <c r="W145" s="313"/>
      <c r="X145" s="313"/>
      <c r="Y145" s="313"/>
      <c r="Z145" s="313"/>
      <c r="AA145" s="313"/>
      <c r="AB145" s="313"/>
      <c r="AC145" s="313"/>
      <c r="AD145" s="313"/>
      <c r="AE145" s="313"/>
      <c r="AF145" s="313"/>
      <c r="AG145" s="313"/>
      <c r="AH145" s="77"/>
      <c r="AI145" s="2569"/>
      <c r="AJ145" s="2569"/>
      <c r="AK145" s="77"/>
      <c r="AL145" s="2569"/>
      <c r="AM145" s="2570"/>
      <c r="AN145" s="2571"/>
      <c r="AO145" s="2572"/>
      <c r="AP145" s="524"/>
      <c r="AQ145" s="524"/>
      <c r="AR145" s="524"/>
      <c r="AS145" s="524"/>
    </row>
    <row r="146" spans="9:45">
      <c r="I146" s="5388"/>
      <c r="J146" s="419" t="s">
        <v>608</v>
      </c>
      <c r="K146" s="1087">
        <v>300</v>
      </c>
      <c r="L146" s="419">
        <v>1</v>
      </c>
      <c r="M146" s="419">
        <v>89</v>
      </c>
      <c r="N146" s="419">
        <v>100</v>
      </c>
      <c r="O146" s="3736">
        <f t="shared" si="26"/>
        <v>89</v>
      </c>
      <c r="P146" s="308"/>
      <c r="Q146" s="308"/>
      <c r="R146" s="308"/>
      <c r="S146" s="2636"/>
      <c r="T146" s="2636"/>
      <c r="U146" s="2636"/>
      <c r="V146" s="2087"/>
      <c r="W146" s="313"/>
      <c r="X146" s="313"/>
      <c r="Y146" s="313"/>
      <c r="Z146" s="313"/>
      <c r="AA146" s="313"/>
      <c r="AB146" s="313"/>
      <c r="AC146" s="313"/>
      <c r="AD146" s="313"/>
      <c r="AE146" s="313"/>
      <c r="AF146" s="313"/>
      <c r="AG146" s="313"/>
      <c r="AH146" s="77"/>
      <c r="AI146" s="2569"/>
      <c r="AJ146" s="2569"/>
      <c r="AK146" s="77"/>
      <c r="AL146" s="2569"/>
      <c r="AM146" s="2570"/>
      <c r="AN146" s="2571"/>
      <c r="AO146" s="2572"/>
      <c r="AP146" s="524"/>
      <c r="AQ146" s="524"/>
      <c r="AR146" s="524"/>
      <c r="AS146" s="524"/>
    </row>
    <row r="147" spans="9:45">
      <c r="I147" s="5388"/>
      <c r="J147" s="419" t="s">
        <v>610</v>
      </c>
      <c r="K147" s="1087">
        <v>300</v>
      </c>
      <c r="L147" s="419">
        <v>1</v>
      </c>
      <c r="M147" s="419">
        <v>178</v>
      </c>
      <c r="N147" s="419">
        <v>100</v>
      </c>
      <c r="O147" s="3736">
        <f t="shared" si="26"/>
        <v>178</v>
      </c>
      <c r="P147" s="2635"/>
      <c r="Q147" s="2635"/>
      <c r="R147" s="2635"/>
      <c r="S147" s="2635"/>
      <c r="T147" s="2636"/>
      <c r="U147" s="2636"/>
      <c r="V147" s="2087"/>
      <c r="W147" s="313"/>
      <c r="X147" s="313"/>
      <c r="Y147" s="313"/>
      <c r="Z147" s="313"/>
      <c r="AA147" s="313"/>
      <c r="AB147" s="313"/>
      <c r="AC147" s="313"/>
      <c r="AD147" s="313"/>
      <c r="AE147" s="313"/>
      <c r="AF147" s="313"/>
      <c r="AG147" s="313"/>
      <c r="AH147" s="77"/>
      <c r="AI147" s="2569"/>
      <c r="AJ147" s="2569"/>
      <c r="AK147" s="77"/>
      <c r="AL147" s="2569"/>
      <c r="AM147" s="2570"/>
      <c r="AN147" s="2571"/>
      <c r="AO147" s="2572"/>
      <c r="AP147" s="524"/>
      <c r="AQ147" s="524"/>
      <c r="AR147" s="524"/>
      <c r="AS147" s="524"/>
    </row>
    <row r="148" spans="9:45">
      <c r="I148" s="5388"/>
      <c r="J148" s="1062" t="s">
        <v>525</v>
      </c>
      <c r="K148" s="1062"/>
      <c r="L148" s="1063"/>
      <c r="M148" s="1067"/>
      <c r="N148" s="1062"/>
      <c r="O148" s="3735">
        <f t="shared" si="26"/>
        <v>0</v>
      </c>
      <c r="P148" s="2635"/>
      <c r="Q148" s="2635"/>
      <c r="R148" s="2635"/>
      <c r="S148" s="2635"/>
      <c r="T148" s="2636"/>
      <c r="U148" s="2636"/>
      <c r="V148" s="2087"/>
      <c r="W148" s="313"/>
      <c r="X148" s="313"/>
      <c r="Y148" s="313"/>
      <c r="Z148" s="313"/>
      <c r="AA148" s="313"/>
      <c r="AB148" s="313"/>
      <c r="AC148" s="313"/>
      <c r="AD148" s="313"/>
      <c r="AE148" s="313"/>
      <c r="AF148" s="313"/>
      <c r="AG148" s="313"/>
      <c r="AH148" s="77"/>
      <c r="AI148" s="2569"/>
      <c r="AJ148" s="2569"/>
      <c r="AK148" s="77"/>
      <c r="AL148" s="2569"/>
      <c r="AM148" s="2570"/>
      <c r="AN148" s="2571"/>
      <c r="AO148" s="2572"/>
      <c r="AP148" s="524"/>
      <c r="AQ148" s="524"/>
      <c r="AR148" s="524"/>
      <c r="AS148" s="524"/>
    </row>
    <row r="149" spans="9:45">
      <c r="I149" s="5388"/>
      <c r="J149" s="1062" t="s">
        <v>525</v>
      </c>
      <c r="K149" s="1062"/>
      <c r="L149" s="1063"/>
      <c r="M149" s="1067"/>
      <c r="N149" s="1062"/>
      <c r="O149" s="3735">
        <f>(N149*M149)/100</f>
        <v>0</v>
      </c>
      <c r="P149" s="4905" t="s">
        <v>934</v>
      </c>
      <c r="Q149" s="4905"/>
      <c r="R149" s="4905"/>
      <c r="S149" s="4905"/>
      <c r="T149" s="2636"/>
      <c r="U149" s="2636"/>
      <c r="V149" s="2087"/>
      <c r="W149" s="313"/>
      <c r="X149" s="313"/>
      <c r="Y149" s="313"/>
      <c r="Z149" s="313"/>
      <c r="AA149" s="313"/>
      <c r="AB149" s="313"/>
      <c r="AC149" s="313"/>
      <c r="AD149" s="313"/>
      <c r="AE149" s="313"/>
      <c r="AF149" s="313"/>
      <c r="AG149" s="313"/>
      <c r="AH149" s="77"/>
      <c r="AI149" s="2569"/>
      <c r="AJ149" s="2569"/>
      <c r="AK149" s="77"/>
      <c r="AL149" s="2569"/>
      <c r="AM149" s="2570"/>
      <c r="AN149" s="2571"/>
      <c r="AO149" s="2572"/>
      <c r="AP149" s="524"/>
      <c r="AQ149" s="524"/>
      <c r="AR149" s="524"/>
      <c r="AS149" s="524"/>
    </row>
    <row r="150" spans="9:45">
      <c r="I150" s="5388"/>
      <c r="J150" s="1062" t="s">
        <v>525</v>
      </c>
      <c r="K150" s="1062"/>
      <c r="L150" s="1063"/>
      <c r="M150" s="1067"/>
      <c r="N150" s="1062"/>
      <c r="O150" s="3735">
        <f>(N150*M150)/100</f>
        <v>0</v>
      </c>
      <c r="P150" s="5390" t="s">
        <v>935</v>
      </c>
      <c r="Q150" s="5390"/>
      <c r="R150" s="5390"/>
      <c r="S150" s="5390"/>
      <c r="T150" s="2636"/>
      <c r="U150" s="2636"/>
      <c r="V150" s="2087"/>
      <c r="W150" s="313"/>
      <c r="X150" s="313"/>
      <c r="Y150" s="313"/>
      <c r="Z150" s="313"/>
      <c r="AA150" s="313"/>
      <c r="AB150" s="313"/>
      <c r="AC150" s="313"/>
      <c r="AD150" s="313"/>
      <c r="AE150" s="313"/>
      <c r="AF150" s="313"/>
      <c r="AG150" s="313"/>
      <c r="AH150" s="77"/>
      <c r="AI150" s="2569"/>
      <c r="AJ150" s="2569"/>
      <c r="AK150" s="77"/>
      <c r="AL150" s="2569"/>
      <c r="AM150" s="2570"/>
      <c r="AN150" s="2571"/>
      <c r="AO150" s="2572"/>
      <c r="AP150" s="524"/>
      <c r="AQ150" s="524"/>
      <c r="AR150" s="524"/>
      <c r="AS150" s="524"/>
    </row>
    <row r="151" spans="9:45">
      <c r="I151" s="5388"/>
      <c r="J151" s="1062" t="s">
        <v>525</v>
      </c>
      <c r="K151" s="1062"/>
      <c r="L151" s="1063"/>
      <c r="M151" s="1067"/>
      <c r="N151" s="1062"/>
      <c r="O151" s="3735">
        <f>(N151*M151)/100</f>
        <v>0</v>
      </c>
      <c r="P151" s="2615"/>
      <c r="Q151" s="2615"/>
      <c r="R151" s="2615"/>
      <c r="S151" s="2615"/>
      <c r="T151" s="2636"/>
      <c r="U151" s="2636"/>
      <c r="V151" s="2087"/>
      <c r="W151" s="313"/>
      <c r="X151" s="313"/>
      <c r="Y151" s="313"/>
      <c r="Z151" s="313"/>
      <c r="AA151" s="313"/>
      <c r="AB151" s="313"/>
      <c r="AC151" s="313"/>
      <c r="AD151" s="313"/>
      <c r="AE151" s="313"/>
      <c r="AF151" s="313"/>
      <c r="AG151" s="313"/>
      <c r="AH151" s="77"/>
      <c r="AI151" s="2569"/>
      <c r="AJ151" s="2569"/>
      <c r="AK151" s="77"/>
      <c r="AL151" s="2569"/>
      <c r="AM151" s="2570"/>
      <c r="AN151" s="2571"/>
      <c r="AO151" s="2572"/>
      <c r="AP151" s="524"/>
      <c r="AQ151" s="524"/>
      <c r="AR151" s="524"/>
      <c r="AS151" s="524"/>
    </row>
    <row r="152" spans="9:45">
      <c r="I152" s="1057"/>
      <c r="J152" s="1064"/>
      <c r="K152" s="1064"/>
      <c r="L152" s="1064"/>
      <c r="M152" s="1064"/>
      <c r="N152" s="1064"/>
      <c r="O152" s="1059"/>
      <c r="P152" s="2615"/>
      <c r="Q152" s="2615"/>
      <c r="R152" s="2615"/>
      <c r="S152" s="2615"/>
      <c r="T152" s="2636"/>
      <c r="U152" s="2636"/>
      <c r="V152" s="2087"/>
      <c r="W152" s="313"/>
      <c r="X152" s="313"/>
      <c r="Y152" s="313"/>
      <c r="Z152" s="313"/>
      <c r="AA152" s="313"/>
      <c r="AB152" s="313"/>
      <c r="AC152" s="313"/>
      <c r="AD152" s="313"/>
      <c r="AE152" s="313"/>
      <c r="AF152" s="313"/>
      <c r="AG152" s="313"/>
      <c r="AH152" s="77"/>
      <c r="AI152" s="2569"/>
      <c r="AJ152" s="2569"/>
      <c r="AK152" s="77"/>
      <c r="AL152" s="2569"/>
      <c r="AM152" s="2570"/>
      <c r="AN152" s="2571"/>
      <c r="AO152" s="2572"/>
      <c r="AP152" s="524"/>
      <c r="AQ152" s="524"/>
      <c r="AR152" s="524"/>
      <c r="AS152" s="524"/>
    </row>
    <row r="153" spans="9:45">
      <c r="I153" s="5460" t="s">
        <v>614</v>
      </c>
      <c r="J153" s="1062" t="s">
        <v>615</v>
      </c>
      <c r="K153" s="1076">
        <v>279</v>
      </c>
      <c r="L153" s="1062">
        <v>0.75</v>
      </c>
      <c r="M153" s="1062">
        <v>2</v>
      </c>
      <c r="N153" s="1090">
        <v>100</v>
      </c>
      <c r="O153" s="3735">
        <f t="shared" ref="O153:O160" si="27">(N153*M153)/100</f>
        <v>2</v>
      </c>
      <c r="P153" s="308"/>
      <c r="Q153" s="308"/>
      <c r="R153" s="308"/>
      <c r="S153" s="2632">
        <v>15</v>
      </c>
      <c r="T153" s="2632">
        <v>20</v>
      </c>
      <c r="U153" s="2632">
        <v>23</v>
      </c>
      <c r="V153" s="2087"/>
      <c r="W153" s="2095"/>
      <c r="X153" s="2095"/>
      <c r="Y153" s="313"/>
      <c r="Z153" s="313"/>
      <c r="AA153" s="313"/>
      <c r="AB153" s="313"/>
      <c r="AC153" s="313"/>
      <c r="AD153" s="313"/>
      <c r="AE153" s="313"/>
      <c r="AF153" s="313"/>
      <c r="AG153" s="313"/>
      <c r="AH153" s="77"/>
      <c r="AI153" s="2569"/>
      <c r="AJ153" s="2569"/>
      <c r="AK153" s="77"/>
      <c r="AL153" s="2569"/>
      <c r="AM153" s="2570"/>
      <c r="AN153" s="2571"/>
      <c r="AO153" s="2572"/>
      <c r="AP153" s="524"/>
      <c r="AQ153" s="524"/>
      <c r="AR153" s="524"/>
      <c r="AS153" s="524"/>
    </row>
    <row r="154" spans="9:45">
      <c r="I154" s="5460"/>
      <c r="J154" s="1062" t="s">
        <v>617</v>
      </c>
      <c r="K154" s="1062">
        <v>240</v>
      </c>
      <c r="L154" s="1062">
        <v>1</v>
      </c>
      <c r="M154" s="1062">
        <v>1500</v>
      </c>
      <c r="N154" s="1090">
        <v>100</v>
      </c>
      <c r="O154" s="3735">
        <f t="shared" si="27"/>
        <v>1500</v>
      </c>
      <c r="P154" s="308"/>
      <c r="Q154" s="2113"/>
      <c r="R154" s="2113"/>
      <c r="S154" s="2642"/>
      <c r="T154" s="2642"/>
      <c r="U154" s="2642"/>
      <c r="V154" s="2087"/>
      <c r="W154" s="2095"/>
      <c r="X154" s="2095"/>
      <c r="Y154" s="313"/>
      <c r="Z154" s="313"/>
      <c r="AA154" s="313"/>
      <c r="AB154" s="313"/>
      <c r="AC154" s="313"/>
      <c r="AD154" s="313"/>
      <c r="AE154" s="313"/>
      <c r="AF154" s="313"/>
      <c r="AG154" s="313"/>
      <c r="AH154" s="77"/>
      <c r="AI154" s="2569"/>
      <c r="AJ154" s="2569"/>
      <c r="AK154" s="77"/>
      <c r="AL154" s="2569"/>
      <c r="AM154" s="2570"/>
      <c r="AN154" s="2571"/>
      <c r="AO154" s="2572"/>
      <c r="AP154" s="524"/>
      <c r="AQ154" s="524"/>
      <c r="AR154" s="524"/>
      <c r="AS154" s="524"/>
    </row>
    <row r="155" spans="9:45">
      <c r="I155" s="5460"/>
      <c r="J155" s="1092" t="s">
        <v>619</v>
      </c>
      <c r="K155" s="1076">
        <v>291</v>
      </c>
      <c r="L155" s="1062">
        <v>0.8</v>
      </c>
      <c r="M155" s="1062">
        <v>30</v>
      </c>
      <c r="N155" s="1090">
        <v>100</v>
      </c>
      <c r="O155" s="3735">
        <f t="shared" si="27"/>
        <v>30</v>
      </c>
      <c r="P155" s="308"/>
      <c r="Q155" s="5481" t="s">
        <v>1785</v>
      </c>
      <c r="R155" s="5481"/>
      <c r="S155" s="5481"/>
      <c r="T155" s="5481"/>
      <c r="U155" s="5481"/>
      <c r="V155" s="2088"/>
      <c r="W155" s="2096"/>
      <c r="X155" s="2095"/>
      <c r="Y155" s="313"/>
      <c r="Z155" s="313"/>
      <c r="AA155" s="313"/>
      <c r="AB155" s="313"/>
      <c r="AC155" s="313"/>
      <c r="AD155" s="313"/>
      <c r="AE155" s="313"/>
      <c r="AF155" s="313"/>
      <c r="AG155" s="313"/>
      <c r="AH155" s="77"/>
      <c r="AI155" s="2569"/>
      <c r="AJ155" s="2569"/>
      <c r="AK155" s="77"/>
      <c r="AL155" s="2569"/>
      <c r="AM155" s="2570"/>
      <c r="AN155" s="2571"/>
      <c r="AO155" s="2572"/>
      <c r="AP155" s="524"/>
      <c r="AQ155" s="524"/>
      <c r="AR155" s="524"/>
      <c r="AS155" s="524"/>
    </row>
    <row r="156" spans="9:45">
      <c r="I156" s="5460"/>
      <c r="J156" s="1062" t="s">
        <v>621</v>
      </c>
      <c r="K156" s="1076">
        <v>300</v>
      </c>
      <c r="L156" s="1062">
        <v>0.8</v>
      </c>
      <c r="M156" s="1062">
        <v>2</v>
      </c>
      <c r="N156" s="1090">
        <v>100</v>
      </c>
      <c r="O156" s="3735">
        <f t="shared" si="27"/>
        <v>2</v>
      </c>
      <c r="P156" s="308"/>
      <c r="Q156" s="5481"/>
      <c r="R156" s="5481"/>
      <c r="S156" s="5481"/>
      <c r="T156" s="5481"/>
      <c r="U156" s="5481"/>
      <c r="V156" s="2089"/>
      <c r="W156" s="2096"/>
      <c r="X156" s="2097"/>
      <c r="Y156" s="313"/>
      <c r="Z156" s="313"/>
      <c r="AA156" s="313"/>
      <c r="AB156" s="313"/>
      <c r="AC156" s="313"/>
      <c r="AD156" s="313"/>
      <c r="AE156" s="313"/>
      <c r="AF156" s="313"/>
      <c r="AG156" s="313"/>
      <c r="AH156" s="77"/>
      <c r="AI156" s="2569"/>
      <c r="AJ156" s="2569"/>
      <c r="AK156" s="77"/>
      <c r="AL156" s="2569"/>
      <c r="AM156" s="2570"/>
      <c r="AN156" s="2571"/>
      <c r="AO156" s="2572"/>
      <c r="AP156" s="524"/>
      <c r="AQ156" s="524"/>
      <c r="AR156" s="524"/>
      <c r="AS156" s="524"/>
    </row>
    <row r="157" spans="9:45" ht="15" customHeight="1">
      <c r="I157" s="5460"/>
      <c r="J157" s="1062" t="s">
        <v>623</v>
      </c>
      <c r="K157" s="1076">
        <v>300</v>
      </c>
      <c r="L157" s="1062">
        <v>0.75</v>
      </c>
      <c r="M157" s="1062">
        <v>2</v>
      </c>
      <c r="N157" s="1090">
        <v>100</v>
      </c>
      <c r="O157" s="3735">
        <f t="shared" si="27"/>
        <v>2</v>
      </c>
      <c r="P157" s="308"/>
      <c r="Q157" s="5481"/>
      <c r="R157" s="5481"/>
      <c r="S157" s="5481"/>
      <c r="T157" s="5481"/>
      <c r="U157" s="5481"/>
      <c r="V157" s="2089"/>
      <c r="W157" s="2096"/>
      <c r="X157" s="2097"/>
      <c r="Y157" s="313"/>
      <c r="Z157" s="313"/>
      <c r="AA157" s="313"/>
      <c r="AB157" s="313"/>
      <c r="AC157" s="313"/>
      <c r="AD157" s="313"/>
      <c r="AE157" s="313"/>
      <c r="AF157" s="313"/>
      <c r="AG157" s="313"/>
      <c r="AH157" s="77"/>
      <c r="AI157" s="2569"/>
      <c r="AJ157" s="2569"/>
      <c r="AK157" s="77"/>
      <c r="AL157" s="2569"/>
      <c r="AM157" s="2570"/>
      <c r="AN157" s="2571"/>
      <c r="AO157" s="2572"/>
      <c r="AP157" s="524"/>
      <c r="AQ157" s="524"/>
      <c r="AR157" s="524"/>
      <c r="AS157" s="524"/>
    </row>
    <row r="158" spans="9:45" ht="15" customHeight="1">
      <c r="I158" s="5460"/>
      <c r="J158" s="1062" t="s">
        <v>625</v>
      </c>
      <c r="K158" s="1062">
        <v>218</v>
      </c>
      <c r="L158" s="1062">
        <v>1</v>
      </c>
      <c r="M158" s="1062">
        <f>(2500+4000)/2</f>
        <v>3250</v>
      </c>
      <c r="N158" s="1090">
        <v>100</v>
      </c>
      <c r="O158" s="3735">
        <f t="shared" si="27"/>
        <v>3250</v>
      </c>
      <c r="P158" s="1059"/>
      <c r="Q158" s="5488" t="s">
        <v>1736</v>
      </c>
      <c r="R158" s="5488"/>
      <c r="S158" s="5488"/>
      <c r="T158" s="5488"/>
      <c r="U158" s="5488"/>
      <c r="V158" s="2101"/>
      <c r="W158" s="2100"/>
      <c r="X158" s="2097"/>
      <c r="Y158" s="313"/>
      <c r="Z158" s="313"/>
      <c r="AA158" s="313"/>
      <c r="AB158" s="313"/>
      <c r="AC158" s="313"/>
      <c r="AD158" s="313"/>
      <c r="AE158" s="313"/>
      <c r="AF158" s="313"/>
      <c r="AG158" s="313"/>
      <c r="AH158" s="77"/>
      <c r="AI158" s="2569"/>
      <c r="AJ158" s="2569"/>
      <c r="AK158" s="77"/>
      <c r="AL158" s="2569"/>
      <c r="AM158" s="2570"/>
      <c r="AN158" s="2571"/>
      <c r="AO158" s="2572"/>
      <c r="AP158" s="524"/>
      <c r="AQ158" s="524"/>
      <c r="AR158" s="524"/>
      <c r="AS158" s="524"/>
    </row>
    <row r="159" spans="9:45" ht="15" customHeight="1">
      <c r="I159" s="5460"/>
      <c r="J159" s="1062" t="s">
        <v>525</v>
      </c>
      <c r="K159" s="1062"/>
      <c r="L159" s="1063"/>
      <c r="M159" s="1067"/>
      <c r="N159" s="1062"/>
      <c r="O159" s="3735">
        <f t="shared" si="27"/>
        <v>0</v>
      </c>
      <c r="P159" s="1059"/>
      <c r="Q159" s="5486" t="s">
        <v>627</v>
      </c>
      <c r="R159" s="5487"/>
      <c r="S159" s="2072">
        <v>100</v>
      </c>
      <c r="T159" s="2068" t="s">
        <v>40</v>
      </c>
      <c r="U159" s="2069" t="s">
        <v>43</v>
      </c>
      <c r="V159" s="2102">
        <v>100</v>
      </c>
      <c r="W159" s="313"/>
      <c r="X159" s="2097"/>
      <c r="Y159" s="313"/>
      <c r="Z159" s="313"/>
      <c r="AA159" s="313"/>
      <c r="AB159" s="313"/>
      <c r="AC159" s="313"/>
      <c r="AD159" s="313"/>
      <c r="AE159" s="313"/>
      <c r="AF159" s="313"/>
      <c r="AG159" s="313"/>
      <c r="AH159" s="77"/>
      <c r="AI159" s="2569"/>
      <c r="AJ159" s="2569"/>
      <c r="AK159" s="77"/>
      <c r="AL159" s="2569"/>
      <c r="AM159" s="2570"/>
      <c r="AN159" s="2571"/>
      <c r="AO159" s="2572"/>
      <c r="AP159" s="524"/>
      <c r="AQ159" s="524"/>
      <c r="AR159" s="524"/>
      <c r="AS159" s="524"/>
    </row>
    <row r="160" spans="9:45" ht="15" customHeight="1">
      <c r="I160" s="5460"/>
      <c r="J160" s="1062" t="s">
        <v>525</v>
      </c>
      <c r="K160" s="1062"/>
      <c r="L160" s="1063"/>
      <c r="M160" s="1067"/>
      <c r="N160" s="1062"/>
      <c r="O160" s="3735">
        <f t="shared" si="27"/>
        <v>0</v>
      </c>
      <c r="P160" s="1059"/>
      <c r="Q160" s="5466" t="s">
        <v>1727</v>
      </c>
      <c r="R160" s="5467"/>
      <c r="S160" s="2073" t="s">
        <v>631</v>
      </c>
      <c r="T160" s="2074" t="s">
        <v>632</v>
      </c>
      <c r="U160" s="2070" t="s">
        <v>50</v>
      </c>
      <c r="V160" s="2103"/>
      <c r="W160" s="313"/>
      <c r="X160" s="2097"/>
      <c r="Y160" s="313"/>
      <c r="Z160" s="313"/>
      <c r="AA160" s="313"/>
      <c r="AB160" s="313"/>
      <c r="AC160" s="313"/>
      <c r="AD160" s="313"/>
      <c r="AE160" s="313"/>
      <c r="AF160" s="313"/>
      <c r="AG160" s="313"/>
      <c r="AH160" s="77"/>
      <c r="AI160" s="2569"/>
      <c r="AJ160" s="2569"/>
      <c r="AK160" s="77"/>
      <c r="AL160" s="2569"/>
      <c r="AM160" s="2570"/>
      <c r="AN160" s="2571"/>
      <c r="AO160" s="2572"/>
      <c r="AP160" s="524"/>
      <c r="AQ160" s="524"/>
      <c r="AR160" s="524"/>
      <c r="AS160" s="524"/>
    </row>
    <row r="161" spans="7:45" ht="15" customHeight="1">
      <c r="I161" s="1057"/>
      <c r="J161" s="1064"/>
      <c r="K161" s="1064"/>
      <c r="L161" s="1064"/>
      <c r="M161" s="1064"/>
      <c r="N161" s="1064"/>
      <c r="O161" s="1059"/>
      <c r="P161" s="1059"/>
      <c r="Q161" s="5405" t="s">
        <v>1733</v>
      </c>
      <c r="R161" s="5406"/>
      <c r="S161" s="2104">
        <f>S$159/100*V161</f>
        <v>0.82</v>
      </c>
      <c r="T161" s="2083">
        <f t="shared" ref="T161:T166" si="28">S$159-S161</f>
        <v>99.18</v>
      </c>
      <c r="U161" s="2075">
        <f>(V$159/V$177)*(100*S$178+V161*S$179)/(V$159)</f>
        <v>29.95</v>
      </c>
      <c r="V161" s="2105">
        <v>0.82</v>
      </c>
      <c r="W161" s="313"/>
      <c r="X161" s="2097"/>
      <c r="Y161" s="313"/>
      <c r="Z161" s="313"/>
      <c r="AA161" s="313"/>
      <c r="AB161" s="313"/>
      <c r="AC161" s="313"/>
      <c r="AD161" s="313"/>
      <c r="AE161" s="313"/>
      <c r="AF161" s="313"/>
      <c r="AG161" s="313"/>
      <c r="AH161" s="77"/>
      <c r="AI161" s="2569"/>
      <c r="AJ161" s="2569"/>
      <c r="AK161" s="77"/>
      <c r="AL161" s="2569"/>
      <c r="AM161" s="2570"/>
      <c r="AN161" s="2571"/>
      <c r="AO161" s="2572"/>
      <c r="AP161" s="524"/>
      <c r="AQ161" s="524"/>
      <c r="AR161" s="524"/>
      <c r="AS161" s="524"/>
    </row>
    <row r="162" spans="7:45" ht="15" customHeight="1">
      <c r="I162" s="5388" t="s">
        <v>629</v>
      </c>
      <c r="J162" s="1093" t="s">
        <v>1734</v>
      </c>
      <c r="K162" s="1094" t="s">
        <v>630</v>
      </c>
      <c r="L162" s="1095"/>
      <c r="M162" s="1095"/>
      <c r="N162" s="1095"/>
      <c r="O162" s="3737"/>
      <c r="P162" s="1059"/>
      <c r="Q162" s="5391" t="s">
        <v>1730</v>
      </c>
      <c r="R162" s="5392"/>
      <c r="S162" s="2104">
        <f>S$159/100*V162</f>
        <v>1.9</v>
      </c>
      <c r="T162" s="2083">
        <f t="shared" si="28"/>
        <v>98.1</v>
      </c>
      <c r="U162" s="2075">
        <f>(V$159/V$177)*(100*S$178+V162*S$179)/(V$159)</f>
        <v>65.05</v>
      </c>
      <c r="V162" s="2106">
        <v>1.9</v>
      </c>
      <c r="W162" s="313"/>
      <c r="X162" s="2097"/>
      <c r="Y162" s="313"/>
      <c r="Z162" s="313"/>
      <c r="AA162" s="313"/>
      <c r="AB162" s="313"/>
      <c r="AC162" s="313"/>
      <c r="AD162" s="313"/>
      <c r="AE162" s="313"/>
      <c r="AF162" s="313"/>
      <c r="AG162" s="313"/>
      <c r="AH162" s="77"/>
      <c r="AI162" s="2569"/>
      <c r="AJ162" s="2569"/>
      <c r="AK162" s="77"/>
      <c r="AL162" s="2569"/>
      <c r="AM162" s="2570"/>
      <c r="AN162" s="2571"/>
      <c r="AO162" s="2572"/>
      <c r="AP162" s="524"/>
      <c r="AQ162" s="524"/>
      <c r="AR162" s="524"/>
      <c r="AS162" s="524"/>
    </row>
    <row r="163" spans="7:45" ht="15" customHeight="1">
      <c r="I163" s="5388"/>
      <c r="J163" s="1096" t="s">
        <v>296</v>
      </c>
      <c r="K163" s="419">
        <v>360</v>
      </c>
      <c r="L163" s="419">
        <v>1</v>
      </c>
      <c r="M163" s="1062">
        <v>30</v>
      </c>
      <c r="N163" s="419">
        <v>100</v>
      </c>
      <c r="O163" s="3738">
        <f>(N163*M163)/100</f>
        <v>30</v>
      </c>
      <c r="P163" s="1059"/>
      <c r="Q163" s="5391" t="s">
        <v>1731</v>
      </c>
      <c r="R163" s="5392"/>
      <c r="S163" s="2104">
        <f>S$159/100*V163</f>
        <v>3.9</v>
      </c>
      <c r="T163" s="2083">
        <f t="shared" si="28"/>
        <v>96.1</v>
      </c>
      <c r="U163" s="2075">
        <f>(V$159/V$177)*(100*S$178+V163*S$179)/(V$159)</f>
        <v>130.05000000000001</v>
      </c>
      <c r="V163" s="2106">
        <v>3.9</v>
      </c>
      <c r="W163" s="313"/>
      <c r="X163" s="2097"/>
      <c r="Y163" s="313"/>
      <c r="Z163" s="313"/>
      <c r="AA163" s="313"/>
      <c r="AB163" s="313"/>
      <c r="AC163" s="313"/>
      <c r="AD163" s="313"/>
      <c r="AE163" s="313"/>
      <c r="AF163" s="313"/>
      <c r="AG163" s="313"/>
      <c r="AH163" s="77"/>
      <c r="AI163" s="2569"/>
      <c r="AJ163" s="2569"/>
      <c r="AK163" s="77"/>
      <c r="AL163" s="2569"/>
      <c r="AM163" s="2570"/>
      <c r="AN163" s="2571"/>
      <c r="AO163" s="2572"/>
      <c r="AP163" s="524"/>
      <c r="AQ163" s="524"/>
      <c r="AR163" s="524"/>
      <c r="AS163" s="524"/>
    </row>
    <row r="164" spans="7:45">
      <c r="I164" s="5388"/>
      <c r="J164" s="1096" t="s">
        <v>297</v>
      </c>
      <c r="K164" s="419">
        <v>360</v>
      </c>
      <c r="L164" s="419">
        <v>1</v>
      </c>
      <c r="M164" s="1062">
        <v>65</v>
      </c>
      <c r="N164" s="419">
        <v>100</v>
      </c>
      <c r="O164" s="3738">
        <f>(N164*M164)/100</f>
        <v>65</v>
      </c>
      <c r="P164" s="1059"/>
      <c r="Q164" s="5407" t="s">
        <v>1729</v>
      </c>
      <c r="R164" s="5408"/>
      <c r="S164" s="2104">
        <f>S$159/100*V164</f>
        <v>10.67</v>
      </c>
      <c r="T164" s="2083">
        <f t="shared" si="28"/>
        <v>89.33</v>
      </c>
      <c r="U164" s="2075">
        <f>(V$159/V$177)*(100*S$178+V164*S$179)/(V$159)</f>
        <v>350.07499999999999</v>
      </c>
      <c r="V164" s="2107">
        <v>10.67</v>
      </c>
      <c r="W164" s="313"/>
      <c r="X164" s="2097"/>
      <c r="Y164" s="313"/>
      <c r="Z164" s="313"/>
      <c r="AA164" s="313"/>
      <c r="AB164" s="313"/>
      <c r="AC164" s="313"/>
      <c r="AD164" s="313"/>
      <c r="AE164" s="313"/>
      <c r="AF164" s="313"/>
      <c r="AG164" s="313"/>
      <c r="AH164" s="77"/>
      <c r="AI164" s="2569"/>
      <c r="AJ164" s="2569"/>
      <c r="AK164" s="77"/>
      <c r="AL164" s="2569"/>
      <c r="AM164" s="2570"/>
      <c r="AN164" s="2571"/>
      <c r="AO164" s="2572"/>
      <c r="AP164" s="524"/>
      <c r="AQ164" s="524"/>
      <c r="AR164" s="524"/>
      <c r="AS164" s="524"/>
    </row>
    <row r="165" spans="7:45" ht="15" customHeight="1">
      <c r="I165" s="5388"/>
      <c r="J165" s="1096" t="s">
        <v>298</v>
      </c>
      <c r="K165" s="419">
        <v>360</v>
      </c>
      <c r="L165" s="419">
        <v>1</v>
      </c>
      <c r="M165" s="1062">
        <v>130</v>
      </c>
      <c r="N165" s="419">
        <v>100</v>
      </c>
      <c r="O165" s="3738">
        <f>(N165*M165)/100</f>
        <v>130</v>
      </c>
      <c r="P165" s="1059"/>
      <c r="Q165" s="5409" t="s">
        <v>1732</v>
      </c>
      <c r="R165" s="5410"/>
      <c r="S165" s="2104">
        <f>S$159/100*V165</f>
        <v>18.36</v>
      </c>
      <c r="T165" s="2083">
        <f t="shared" si="28"/>
        <v>81.64</v>
      </c>
      <c r="U165" s="2075">
        <f>(V$159/V$177)*(100*S$178+V165*S$179)/(V$159)</f>
        <v>600</v>
      </c>
      <c r="V165" s="2107">
        <v>18.36</v>
      </c>
      <c r="W165" s="313"/>
      <c r="X165" s="2097"/>
      <c r="Y165" s="313"/>
      <c r="Z165" s="313"/>
      <c r="AA165" s="313"/>
      <c r="AB165" s="313"/>
      <c r="AC165" s="313"/>
      <c r="AD165" s="313"/>
      <c r="AE165" s="313"/>
      <c r="AF165" s="313"/>
      <c r="AG165" s="313"/>
      <c r="AH165" s="77"/>
      <c r="AI165" s="2569"/>
      <c r="AJ165" s="2569"/>
      <c r="AK165" s="77"/>
      <c r="AL165" s="2569"/>
      <c r="AM165" s="2570"/>
      <c r="AN165" s="2571"/>
      <c r="AO165" s="2572"/>
      <c r="AP165" s="524"/>
      <c r="AQ165" s="524"/>
      <c r="AR165" s="524"/>
      <c r="AS165" s="524"/>
    </row>
    <row r="166" spans="7:45" ht="15" customHeight="1">
      <c r="I166" s="5388"/>
      <c r="J166" s="1096" t="s">
        <v>638</v>
      </c>
      <c r="K166" s="419">
        <v>360</v>
      </c>
      <c r="L166" s="419">
        <v>1</v>
      </c>
      <c r="M166" s="1062">
        <v>350</v>
      </c>
      <c r="N166" s="419">
        <v>100</v>
      </c>
      <c r="O166" s="3738">
        <f>(N166*M166)/100</f>
        <v>350</v>
      </c>
      <c r="P166" s="1059"/>
      <c r="Q166" s="5482" t="str">
        <f>"Invert  ("&amp;1*FIXED((U166),1)&amp;"EBC)"</f>
        <v>Invert  (392.9EBC)</v>
      </c>
      <c r="R166" s="5483"/>
      <c r="S166" s="2077">
        <v>12</v>
      </c>
      <c r="T166" s="2108">
        <f t="shared" si="28"/>
        <v>88</v>
      </c>
      <c r="U166" s="2082">
        <f>(T166*S178+S166*S179)/S159</f>
        <v>392.904</v>
      </c>
      <c r="V166" s="2109"/>
      <c r="W166" s="313"/>
      <c r="X166" s="2097"/>
      <c r="Y166" s="313"/>
      <c r="Z166" s="313"/>
      <c r="AA166" s="313"/>
      <c r="AB166" s="313"/>
      <c r="AC166" s="313"/>
      <c r="AD166" s="313"/>
      <c r="AE166" s="313"/>
      <c r="AF166" s="313"/>
      <c r="AG166" s="313"/>
      <c r="AH166" s="77"/>
      <c r="AI166" s="2569"/>
      <c r="AJ166" s="2569"/>
      <c r="AK166" s="77"/>
      <c r="AL166" s="2569"/>
      <c r="AM166" s="2570"/>
      <c r="AN166" s="2571"/>
      <c r="AO166" s="2572"/>
      <c r="AP166" s="524"/>
      <c r="AQ166" s="524"/>
      <c r="AR166" s="524"/>
      <c r="AS166" s="524"/>
    </row>
    <row r="167" spans="7:45">
      <c r="I167" s="5388"/>
      <c r="J167" s="1096" t="s">
        <v>299</v>
      </c>
      <c r="K167" s="419">
        <v>360</v>
      </c>
      <c r="L167" s="419">
        <v>1</v>
      </c>
      <c r="M167" s="1062">
        <v>600</v>
      </c>
      <c r="N167" s="419">
        <v>100</v>
      </c>
      <c r="O167" s="3738">
        <f>(N167*M167)/100</f>
        <v>600</v>
      </c>
      <c r="P167" s="1059"/>
      <c r="Q167" s="2110"/>
      <c r="R167" s="2110"/>
      <c r="S167" s="2110"/>
      <c r="T167" s="2110"/>
      <c r="U167" s="2110"/>
      <c r="V167" s="2107"/>
      <c r="W167" s="313"/>
      <c r="X167" s="2097"/>
      <c r="Y167" s="313"/>
      <c r="Z167" s="313"/>
      <c r="AA167" s="313"/>
      <c r="AB167" s="313"/>
      <c r="AC167" s="313"/>
      <c r="AD167" s="313"/>
      <c r="AE167" s="313"/>
      <c r="AF167" s="313"/>
      <c r="AG167" s="313"/>
      <c r="AH167" s="77"/>
      <c r="AI167" s="2569"/>
      <c r="AJ167" s="2569"/>
      <c r="AK167" s="77"/>
      <c r="AL167" s="2569"/>
      <c r="AM167" s="2570"/>
      <c r="AN167" s="2571"/>
      <c r="AO167" s="2572"/>
      <c r="AP167" s="524"/>
      <c r="AQ167" s="524"/>
      <c r="AR167" s="524"/>
      <c r="AS167" s="524"/>
    </row>
    <row r="168" spans="7:45" ht="15" customHeight="1">
      <c r="I168" s="5388"/>
      <c r="J168" s="1064"/>
      <c r="K168" s="1064"/>
      <c r="L168" s="1064"/>
      <c r="M168" s="1064"/>
      <c r="N168" s="1064"/>
      <c r="O168" s="1059"/>
      <c r="P168" s="1059"/>
      <c r="Q168" s="5484" t="s">
        <v>1737</v>
      </c>
      <c r="R168" s="5484"/>
      <c r="S168" s="5484"/>
      <c r="T168" s="5484"/>
      <c r="U168" s="5485"/>
      <c r="V168" s="2107"/>
      <c r="W168" s="313"/>
      <c r="X168" s="2097"/>
      <c r="Y168" s="313"/>
      <c r="Z168" s="313"/>
      <c r="AA168" s="313"/>
      <c r="AB168" s="313"/>
      <c r="AC168" s="313"/>
      <c r="AD168" s="313"/>
      <c r="AE168" s="313"/>
      <c r="AF168" s="313"/>
      <c r="AG168" s="313"/>
      <c r="AH168" s="77"/>
      <c r="AI168" s="2569"/>
      <c r="AJ168" s="2569"/>
      <c r="AK168" s="77"/>
      <c r="AL168" s="2569"/>
      <c r="AM168" s="2570"/>
      <c r="AN168" s="2571"/>
      <c r="AO168" s="2572"/>
      <c r="AP168" s="524"/>
      <c r="AQ168" s="524"/>
      <c r="AR168" s="524"/>
      <c r="AS168" s="524"/>
    </row>
    <row r="169" spans="7:45" ht="15" customHeight="1">
      <c r="I169" s="5388"/>
      <c r="J169" s="14" t="s">
        <v>1735</v>
      </c>
      <c r="K169" s="14"/>
      <c r="L169" s="14"/>
      <c r="M169" s="1097"/>
      <c r="N169" s="14"/>
      <c r="O169" s="3739"/>
      <c r="P169" s="1059"/>
      <c r="Q169" s="5486" t="s">
        <v>627</v>
      </c>
      <c r="R169" s="5487"/>
      <c r="S169" s="2111">
        <f>S159</f>
        <v>100</v>
      </c>
      <c r="T169" s="2078" t="s">
        <v>40</v>
      </c>
      <c r="U169" s="2069" t="s">
        <v>43</v>
      </c>
      <c r="V169" s="2107"/>
      <c r="W169" s="313"/>
      <c r="X169" s="2097"/>
      <c r="Y169" s="313"/>
      <c r="Z169" s="313"/>
      <c r="AA169" s="313"/>
      <c r="AB169" s="313"/>
      <c r="AC169" s="313"/>
      <c r="AD169" s="313"/>
      <c r="AE169" s="313"/>
      <c r="AF169" s="313"/>
      <c r="AG169" s="313"/>
      <c r="AH169" s="77"/>
      <c r="AI169" s="2569"/>
      <c r="AJ169" s="2569"/>
      <c r="AK169" s="77"/>
      <c r="AL169" s="2569"/>
      <c r="AM169" s="2570"/>
      <c r="AN169" s="2571"/>
      <c r="AO169" s="2572"/>
      <c r="AP169" s="524"/>
      <c r="AQ169" s="524"/>
      <c r="AR169" s="524"/>
      <c r="AS169" s="524"/>
    </row>
    <row r="170" spans="7:45" ht="15" customHeight="1">
      <c r="I170" s="5388"/>
      <c r="J170" s="419" t="s">
        <v>301</v>
      </c>
      <c r="K170" s="419">
        <v>319</v>
      </c>
      <c r="L170" s="419">
        <v>1</v>
      </c>
      <c r="M170" s="1062">
        <v>24</v>
      </c>
      <c r="N170" s="419">
        <v>100</v>
      </c>
      <c r="O170" s="3736">
        <f>(N170*M170)/100</f>
        <v>24</v>
      </c>
      <c r="P170" s="1059"/>
      <c r="Q170" s="5466" t="s">
        <v>1728</v>
      </c>
      <c r="R170" s="5467"/>
      <c r="S170" s="2073" t="s">
        <v>631</v>
      </c>
      <c r="T170" s="2079" t="s">
        <v>639</v>
      </c>
      <c r="U170" s="2070" t="s">
        <v>50</v>
      </c>
      <c r="V170" s="2107"/>
      <c r="W170" s="313"/>
      <c r="X170" s="2097"/>
      <c r="Y170" s="313"/>
      <c r="Z170" s="313"/>
      <c r="AA170" s="313"/>
      <c r="AB170" s="313"/>
      <c r="AC170" s="313"/>
      <c r="AD170" s="313"/>
      <c r="AE170" s="313"/>
      <c r="AF170" s="313"/>
      <c r="AG170" s="313"/>
      <c r="AH170" s="77"/>
      <c r="AI170" s="2569"/>
      <c r="AJ170" s="2569"/>
      <c r="AK170" s="77"/>
      <c r="AL170" s="2569"/>
      <c r="AM170" s="2570"/>
      <c r="AN170" s="2571"/>
      <c r="AO170" s="2572"/>
      <c r="AP170" s="524"/>
      <c r="AQ170" s="524"/>
      <c r="AR170" s="524"/>
      <c r="AS170" s="524"/>
    </row>
    <row r="171" spans="7:45" ht="15" customHeight="1">
      <c r="I171" s="5388"/>
      <c r="J171" s="419" t="s">
        <v>302</v>
      </c>
      <c r="K171" s="419">
        <v>319</v>
      </c>
      <c r="L171" s="419">
        <v>1</v>
      </c>
      <c r="M171" s="1062">
        <v>53</v>
      </c>
      <c r="N171" s="419">
        <v>100</v>
      </c>
      <c r="O171" s="3736">
        <f>(N171*M171)/100</f>
        <v>53</v>
      </c>
      <c r="P171" s="1059"/>
      <c r="Q171" s="5405" t="s">
        <v>1733</v>
      </c>
      <c r="R171" s="5406"/>
      <c r="S171" s="2090">
        <f>S$169/100*V171</f>
        <v>0</v>
      </c>
      <c r="T171" s="2084">
        <f>S$169-S171</f>
        <v>100</v>
      </c>
      <c r="U171" s="2071">
        <f>(30*T171+S171*3250)/S$169</f>
        <v>30</v>
      </c>
      <c r="V171" s="2112">
        <v>0</v>
      </c>
      <c r="W171" s="313"/>
      <c r="X171" s="2097"/>
      <c r="Y171" s="313"/>
      <c r="Z171" s="313"/>
      <c r="AA171" s="313"/>
      <c r="AB171" s="313"/>
      <c r="AC171" s="313"/>
      <c r="AD171" s="313"/>
      <c r="AE171" s="313"/>
      <c r="AF171" s="313"/>
      <c r="AG171" s="313"/>
      <c r="AH171" s="77"/>
      <c r="AI171" s="2569"/>
      <c r="AJ171" s="2569"/>
      <c r="AK171" s="77"/>
      <c r="AL171" s="2569"/>
      <c r="AM171" s="2570"/>
      <c r="AN171" s="2571"/>
      <c r="AO171" s="2572"/>
      <c r="AP171" s="524"/>
      <c r="AQ171" s="524"/>
      <c r="AR171" s="524"/>
      <c r="AS171" s="524"/>
    </row>
    <row r="172" spans="7:45" ht="15" customHeight="1">
      <c r="I172" s="5388"/>
      <c r="J172" s="419" t="s">
        <v>303</v>
      </c>
      <c r="K172" s="419">
        <v>319</v>
      </c>
      <c r="L172" s="419">
        <v>1</v>
      </c>
      <c r="M172" s="1062">
        <v>105</v>
      </c>
      <c r="N172" s="419">
        <v>100</v>
      </c>
      <c r="O172" s="3736">
        <f>(N172*M172)/100</f>
        <v>105</v>
      </c>
      <c r="P172" s="1059"/>
      <c r="Q172" s="5391" t="s">
        <v>1730</v>
      </c>
      <c r="R172" s="5392"/>
      <c r="S172" s="2090">
        <f>S$169/100*V172</f>
        <v>1.08</v>
      </c>
      <c r="T172" s="2085">
        <f>S$169-S172</f>
        <v>98.92</v>
      </c>
      <c r="U172" s="2075">
        <f>(T$171*S$180+S172*S$179)/S$169</f>
        <v>65.099999999999994</v>
      </c>
      <c r="V172" s="2103">
        <v>1.08</v>
      </c>
      <c r="W172" s="313"/>
      <c r="X172" s="2097"/>
      <c r="Y172" s="313"/>
      <c r="Z172" s="313"/>
      <c r="AA172" s="313"/>
      <c r="AB172" s="313"/>
      <c r="AC172" s="313"/>
      <c r="AD172" s="313"/>
      <c r="AE172" s="313"/>
      <c r="AF172" s="313"/>
      <c r="AG172" s="313"/>
      <c r="AH172" s="77"/>
      <c r="AI172" s="2569"/>
      <c r="AJ172" s="2569"/>
      <c r="AK172" s="77"/>
      <c r="AL172" s="2569"/>
      <c r="AM172" s="2570"/>
      <c r="AN172" s="2571"/>
      <c r="AO172" s="2572"/>
      <c r="AP172" s="524"/>
      <c r="AQ172" s="524"/>
      <c r="AR172" s="524"/>
      <c r="AS172" s="524"/>
    </row>
    <row r="173" spans="7:45" ht="15" customHeight="1">
      <c r="I173" s="5388"/>
      <c r="J173" s="419" t="s">
        <v>304</v>
      </c>
      <c r="K173" s="419">
        <v>319</v>
      </c>
      <c r="L173" s="419">
        <v>1</v>
      </c>
      <c r="M173" s="1062">
        <v>483</v>
      </c>
      <c r="N173" s="419">
        <v>100</v>
      </c>
      <c r="O173" s="3736">
        <f>(N173*M173)/100</f>
        <v>483</v>
      </c>
      <c r="P173" s="1059"/>
      <c r="Q173" s="5391" t="s">
        <v>1731</v>
      </c>
      <c r="R173" s="5392"/>
      <c r="S173" s="2090">
        <f>S$169/100*V173</f>
        <v>3.1</v>
      </c>
      <c r="T173" s="2085">
        <f>S$169-S173</f>
        <v>96.9</v>
      </c>
      <c r="U173" s="2075">
        <f>(T$171*S$180+S173*S$179)/S$169</f>
        <v>130.75</v>
      </c>
      <c r="V173" s="2103">
        <v>3.1</v>
      </c>
      <c r="W173" s="313"/>
      <c r="X173" s="2097"/>
      <c r="Y173" s="313"/>
      <c r="Z173" s="313"/>
      <c r="AA173" s="313"/>
      <c r="AB173" s="313"/>
      <c r="AC173" s="313"/>
      <c r="AD173" s="313"/>
      <c r="AE173" s="313"/>
      <c r="AF173" s="313"/>
      <c r="AG173" s="313"/>
      <c r="AH173" s="77"/>
      <c r="AI173" s="2569"/>
      <c r="AJ173" s="2569"/>
      <c r="AK173" s="77"/>
      <c r="AL173" s="2569"/>
      <c r="AM173" s="2570"/>
      <c r="AN173" s="2571"/>
      <c r="AO173" s="2572"/>
      <c r="AP173" s="524"/>
      <c r="AQ173" s="524"/>
      <c r="AR173" s="524"/>
      <c r="AS173" s="524"/>
    </row>
    <row r="174" spans="7:45" ht="15" customHeight="1">
      <c r="G174" s="1058"/>
      <c r="H174" s="1058"/>
      <c r="I174" s="1098"/>
      <c r="J174" s="1088"/>
      <c r="K174" s="1088"/>
      <c r="L174" s="1088"/>
      <c r="M174" s="1088"/>
      <c r="N174" s="1088"/>
      <c r="O174" s="1088"/>
      <c r="P174" s="1059"/>
      <c r="Q174" s="5407" t="s">
        <v>1729</v>
      </c>
      <c r="R174" s="5408"/>
      <c r="S174" s="2090">
        <f>S$169/100*V174</f>
        <v>9.85</v>
      </c>
      <c r="T174" s="2085">
        <f>S$169-S174</f>
        <v>90.15</v>
      </c>
      <c r="U174" s="2075">
        <f>(T$171*S$180+S174*S$179)/S$169</f>
        <v>350.125</v>
      </c>
      <c r="V174" s="2103">
        <v>9.85</v>
      </c>
      <c r="W174" s="313"/>
      <c r="X174" s="2097"/>
      <c r="Y174" s="313"/>
      <c r="Z174" s="313"/>
      <c r="AA174" s="313"/>
      <c r="AB174" s="313"/>
      <c r="AC174" s="313"/>
      <c r="AD174" s="313"/>
      <c r="AE174" s="313"/>
      <c r="AF174" s="313"/>
      <c r="AG174" s="313"/>
      <c r="AH174" s="77"/>
      <c r="AI174" s="2569"/>
      <c r="AJ174" s="2569"/>
      <c r="AK174" s="77"/>
      <c r="AL174" s="2569"/>
      <c r="AM174" s="2570"/>
      <c r="AN174" s="2571"/>
      <c r="AO174" s="2572"/>
      <c r="AP174" s="524"/>
      <c r="AQ174" s="524"/>
      <c r="AR174" s="524"/>
      <c r="AS174" s="524"/>
    </row>
    <row r="175" spans="7:45" ht="15" customHeight="1">
      <c r="G175" s="1058"/>
      <c r="H175" s="1058"/>
      <c r="I175" s="1098"/>
      <c r="J175" s="5403" t="s">
        <v>640</v>
      </c>
      <c r="K175" s="5403"/>
      <c r="L175" s="5403"/>
      <c r="M175" s="5403"/>
      <c r="N175" s="5403"/>
      <c r="O175" s="5403"/>
      <c r="P175" s="5404"/>
      <c r="Q175" s="5409" t="s">
        <v>1732</v>
      </c>
      <c r="R175" s="5410"/>
      <c r="S175" s="2090">
        <f>S$169/100*V175</f>
        <v>17.600000000000001</v>
      </c>
      <c r="T175" s="2086">
        <f>S$169-S175</f>
        <v>82.4</v>
      </c>
      <c r="U175" s="2076">
        <f>(T$171*S$180+S175*S$179)/S$169</f>
        <v>602.00000000000011</v>
      </c>
      <c r="V175" s="2098">
        <v>17.600000000000001</v>
      </c>
      <c r="W175" s="2559"/>
      <c r="X175" s="2097"/>
      <c r="Y175" s="313"/>
      <c r="Z175" s="313"/>
      <c r="AA175" s="313"/>
      <c r="AB175" s="313"/>
      <c r="AC175" s="313"/>
      <c r="AD175" s="313"/>
      <c r="AE175" s="313"/>
      <c r="AF175" s="313"/>
      <c r="AG175" s="313"/>
      <c r="AH175" s="77"/>
      <c r="AI175" s="2569"/>
      <c r="AJ175" s="2569"/>
      <c r="AK175" s="77"/>
      <c r="AL175" s="2569"/>
      <c r="AM175" s="2570"/>
      <c r="AN175" s="2571"/>
      <c r="AO175" s="2572"/>
      <c r="AP175" s="524"/>
      <c r="AQ175" s="524"/>
      <c r="AR175" s="524"/>
      <c r="AS175" s="524"/>
    </row>
    <row r="176" spans="7:45" ht="15" customHeight="1">
      <c r="I176" s="1099"/>
      <c r="J176" s="5478" t="s">
        <v>641</v>
      </c>
      <c r="K176" s="5478"/>
      <c r="L176" s="5478"/>
      <c r="M176" s="5478"/>
      <c r="N176" s="5478"/>
      <c r="O176" s="5478"/>
      <c r="P176" s="5479"/>
      <c r="Q176" s="5482" t="str">
        <f>"Invert  ("&amp;1*FIXED((U176),1)&amp;"EBC)"</f>
        <v>Invert  (416.4EBC)</v>
      </c>
      <c r="R176" s="5483"/>
      <c r="S176" s="2080">
        <v>12</v>
      </c>
      <c r="T176" s="2081">
        <f>S$169*(100-S176)/V$177</f>
        <v>88</v>
      </c>
      <c r="U176" s="2082">
        <f>(T176*S180+S176*S179)/S169</f>
        <v>416.4</v>
      </c>
      <c r="V176" s="2099"/>
      <c r="W176" s="2559"/>
      <c r="X176" s="2097"/>
      <c r="Y176" s="313"/>
      <c r="Z176" s="313"/>
      <c r="AA176" s="313"/>
      <c r="AB176" s="313"/>
      <c r="AC176" s="313"/>
      <c r="AD176" s="313"/>
      <c r="AE176" s="313"/>
      <c r="AF176" s="313"/>
      <c r="AG176" s="313"/>
      <c r="AH176" s="77"/>
      <c r="AI176" s="2569"/>
      <c r="AJ176" s="2569"/>
      <c r="AK176" s="77"/>
      <c r="AL176" s="2569"/>
      <c r="AM176" s="2570"/>
      <c r="AN176" s="2571"/>
      <c r="AO176" s="2572"/>
      <c r="AP176" s="524"/>
      <c r="AQ176" s="524"/>
      <c r="AR176" s="524"/>
      <c r="AS176" s="524"/>
    </row>
    <row r="177" spans="17:45">
      <c r="Q177" s="308"/>
      <c r="R177" s="308"/>
      <c r="S177" s="308"/>
      <c r="T177" s="308"/>
      <c r="U177" s="2113"/>
      <c r="V177" s="2560">
        <v>100</v>
      </c>
      <c r="W177" s="1059"/>
      <c r="X177" s="2095"/>
      <c r="Y177" s="313"/>
      <c r="Z177" s="313"/>
      <c r="AA177" s="313"/>
      <c r="AB177" s="313"/>
      <c r="AC177" s="313"/>
      <c r="AD177" s="313"/>
      <c r="AE177" s="313"/>
      <c r="AF177" s="313"/>
      <c r="AG177" s="313"/>
      <c r="AH177" s="77"/>
      <c r="AI177" s="2569"/>
      <c r="AJ177" s="2569"/>
      <c r="AK177" s="77"/>
      <c r="AL177" s="2569"/>
      <c r="AM177" s="2570"/>
      <c r="AN177" s="2571"/>
      <c r="AO177" s="2572"/>
      <c r="AP177" s="524"/>
      <c r="AQ177" s="524"/>
      <c r="AR177" s="524"/>
      <c r="AS177" s="524"/>
    </row>
    <row r="178" spans="17:45">
      <c r="Q178" s="5402" t="s">
        <v>1738</v>
      </c>
      <c r="R178" s="5402"/>
      <c r="S178" s="2094">
        <v>3.3</v>
      </c>
      <c r="T178" s="5402" t="s">
        <v>1739</v>
      </c>
      <c r="U178" s="5402"/>
      <c r="V178" s="2091" t="s">
        <v>40</v>
      </c>
      <c r="W178" s="1059"/>
      <c r="X178" s="2095"/>
      <c r="Y178" s="313"/>
      <c r="Z178" s="313"/>
      <c r="AA178" s="313"/>
      <c r="AB178" s="313"/>
      <c r="AC178" s="313"/>
      <c r="AD178" s="313"/>
      <c r="AE178" s="313"/>
      <c r="AF178" s="313"/>
      <c r="AG178" s="313"/>
      <c r="AH178" s="77"/>
      <c r="AI178" s="2569"/>
      <c r="AJ178" s="2569"/>
      <c r="AK178" s="77"/>
      <c r="AL178" s="2569"/>
      <c r="AM178" s="2570"/>
      <c r="AN178" s="2571"/>
      <c r="AO178" s="2572"/>
      <c r="AP178" s="524"/>
      <c r="AQ178" s="524"/>
      <c r="AR178" s="524"/>
      <c r="AS178" s="524"/>
    </row>
    <row r="179" spans="17:45">
      <c r="Q179" s="5411" t="s">
        <v>1740</v>
      </c>
      <c r="R179" s="5411"/>
      <c r="S179" s="2092">
        <v>3250</v>
      </c>
      <c r="T179" s="5413" t="s">
        <v>1741</v>
      </c>
      <c r="U179" s="5413"/>
      <c r="V179" s="1091"/>
      <c r="W179" s="1059"/>
      <c r="X179" s="313"/>
      <c r="Y179" s="313"/>
      <c r="Z179" s="313"/>
      <c r="AA179" s="313"/>
      <c r="AB179" s="313"/>
      <c r="AC179" s="313"/>
      <c r="AD179" s="313"/>
      <c r="AE179" s="313"/>
      <c r="AF179" s="313"/>
      <c r="AG179" s="313"/>
      <c r="AH179" s="77"/>
      <c r="AI179" s="2569"/>
      <c r="AJ179" s="2569"/>
      <c r="AK179" s="77"/>
      <c r="AL179" s="2569"/>
      <c r="AM179" s="2570"/>
      <c r="AN179" s="2571"/>
      <c r="AO179" s="2572"/>
      <c r="AP179" s="524"/>
      <c r="AQ179" s="524"/>
      <c r="AR179" s="524"/>
      <c r="AS179" s="524"/>
    </row>
    <row r="180" spans="17:45">
      <c r="Q180" s="5412" t="s">
        <v>1742</v>
      </c>
      <c r="R180" s="5412"/>
      <c r="S180" s="2093">
        <v>30</v>
      </c>
      <c r="T180" s="5414" t="s">
        <v>1743</v>
      </c>
      <c r="U180" s="5414"/>
      <c r="V180" s="1091"/>
      <c r="W180" s="1059"/>
      <c r="X180" s="313"/>
      <c r="Y180" s="313"/>
      <c r="Z180" s="313"/>
      <c r="AA180" s="313"/>
      <c r="AB180" s="313"/>
      <c r="AC180" s="313"/>
      <c r="AD180" s="313"/>
      <c r="AE180" s="313"/>
      <c r="AF180" s="313"/>
      <c r="AG180" s="313"/>
      <c r="AH180" s="77"/>
      <c r="AI180" s="2569"/>
      <c r="AJ180" s="2569"/>
      <c r="AK180" s="77"/>
      <c r="AL180" s="2569"/>
      <c r="AM180" s="2570"/>
      <c r="AN180" s="2571"/>
      <c r="AO180" s="2572"/>
      <c r="AP180" s="524"/>
      <c r="AQ180" s="524"/>
      <c r="AR180" s="524"/>
      <c r="AS180" s="524"/>
    </row>
    <row r="181" spans="17:45">
      <c r="Q181" s="311"/>
      <c r="R181" s="311"/>
      <c r="S181" s="311"/>
      <c r="T181" s="311"/>
      <c r="U181" s="311"/>
      <c r="V181" s="1091"/>
      <c r="W181" s="1059"/>
      <c r="X181" s="313"/>
      <c r="Y181" s="313"/>
      <c r="Z181" s="313"/>
      <c r="AA181" s="313"/>
      <c r="AB181" s="313"/>
      <c r="AC181" s="313"/>
      <c r="AD181" s="313"/>
      <c r="AE181" s="313"/>
      <c r="AF181" s="313"/>
      <c r="AG181" s="313"/>
      <c r="AH181" s="77"/>
      <c r="AI181" s="2569"/>
      <c r="AJ181" s="2569"/>
      <c r="AK181" s="77"/>
      <c r="AL181" s="2569"/>
      <c r="AM181" s="2570"/>
      <c r="AN181" s="2571"/>
      <c r="AO181" s="2572"/>
      <c r="AP181" s="524"/>
      <c r="AQ181" s="524"/>
      <c r="AR181" s="524"/>
      <c r="AS181" s="524"/>
    </row>
  </sheetData>
  <sheetProtection password="FA80" sheet="1" objects="1" scenarios="1"/>
  <sortState ref="Y8:Z26">
    <sortCondition ref="Y8"/>
  </sortState>
  <mergeCells count="114">
    <mergeCell ref="X48:X50"/>
    <mergeCell ref="X57:X61"/>
    <mergeCell ref="A55:A56"/>
    <mergeCell ref="B55:B56"/>
    <mergeCell ref="X51:X56"/>
    <mergeCell ref="X42:X47"/>
    <mergeCell ref="J176:P176"/>
    <mergeCell ref="AC139:AD139"/>
    <mergeCell ref="W140:Y141"/>
    <mergeCell ref="Z140:AB140"/>
    <mergeCell ref="Z141:AB141"/>
    <mergeCell ref="Q155:U157"/>
    <mergeCell ref="Q166:R166"/>
    <mergeCell ref="Q168:U168"/>
    <mergeCell ref="Q169:R169"/>
    <mergeCell ref="Q170:R170"/>
    <mergeCell ref="Q171:R171"/>
    <mergeCell ref="Q172:R172"/>
    <mergeCell ref="Q173:R173"/>
    <mergeCell ref="Q174:R174"/>
    <mergeCell ref="Q175:R175"/>
    <mergeCell ref="Q176:R176"/>
    <mergeCell ref="Q158:U158"/>
    <mergeCell ref="Q159:R159"/>
    <mergeCell ref="P49:T49"/>
    <mergeCell ref="N55:N56"/>
    <mergeCell ref="I55:I56"/>
    <mergeCell ref="J55:J56"/>
    <mergeCell ref="I131:I151"/>
    <mergeCell ref="I153:I160"/>
    <mergeCell ref="K55:K56"/>
    <mergeCell ref="L55:L56"/>
    <mergeCell ref="A51:D51"/>
    <mergeCell ref="I51:L51"/>
    <mergeCell ref="J79:U81"/>
    <mergeCell ref="I57:I81"/>
    <mergeCell ref="A52:G53"/>
    <mergeCell ref="I52:S52"/>
    <mergeCell ref="I53:N53"/>
    <mergeCell ref="Q160:R160"/>
    <mergeCell ref="C55:C56"/>
    <mergeCell ref="D55:D56"/>
    <mergeCell ref="E55:E56"/>
    <mergeCell ref="F55:F56"/>
    <mergeCell ref="G55:G56"/>
    <mergeCell ref="O55:O56"/>
    <mergeCell ref="S55:U55"/>
    <mergeCell ref="M55:M56"/>
    <mergeCell ref="AP2:AQ2"/>
    <mergeCell ref="AR2:AS2"/>
    <mergeCell ref="A3:B3"/>
    <mergeCell ref="I3:J3"/>
    <mergeCell ref="Y3:Z3"/>
    <mergeCell ref="AL3:AN3"/>
    <mergeCell ref="AP3:AQ3"/>
    <mergeCell ref="AR3:AS3"/>
    <mergeCell ref="A4:G5"/>
    <mergeCell ref="L4:P4"/>
    <mergeCell ref="AP4:AQ4"/>
    <mergeCell ref="AR4:AS4"/>
    <mergeCell ref="AK1:AM1"/>
    <mergeCell ref="Z2:AA2"/>
    <mergeCell ref="AB2:AD2"/>
    <mergeCell ref="AL2:AN2"/>
    <mergeCell ref="P16:Q16"/>
    <mergeCell ref="X35:AD35"/>
    <mergeCell ref="M17:U17"/>
    <mergeCell ref="M20:N20"/>
    <mergeCell ref="AA26:AD28"/>
    <mergeCell ref="AA6:AD6"/>
    <mergeCell ref="A1:B1"/>
    <mergeCell ref="M1:P1"/>
    <mergeCell ref="AC1:AD1"/>
    <mergeCell ref="X40:X41"/>
    <mergeCell ref="Y40:Y41"/>
    <mergeCell ref="Z40:Z41"/>
    <mergeCell ref="AA40:AA41"/>
    <mergeCell ref="AB40:AB41"/>
    <mergeCell ref="AC40:AC41"/>
    <mergeCell ref="AD40:AD41"/>
    <mergeCell ref="P20:Q20"/>
    <mergeCell ref="M15:N15"/>
    <mergeCell ref="M16:N16"/>
    <mergeCell ref="D6:G6"/>
    <mergeCell ref="I6:J6"/>
    <mergeCell ref="X36:AD38"/>
    <mergeCell ref="Q178:R178"/>
    <mergeCell ref="J175:P175"/>
    <mergeCell ref="Q161:R161"/>
    <mergeCell ref="Q164:R164"/>
    <mergeCell ref="Q165:R165"/>
    <mergeCell ref="Q179:R179"/>
    <mergeCell ref="Q180:R180"/>
    <mergeCell ref="T178:U178"/>
    <mergeCell ref="T179:U179"/>
    <mergeCell ref="T180:U180"/>
    <mergeCell ref="I162:I173"/>
    <mergeCell ref="I83:I98"/>
    <mergeCell ref="P149:S149"/>
    <mergeCell ref="P150:S150"/>
    <mergeCell ref="P105:S105"/>
    <mergeCell ref="Q162:R162"/>
    <mergeCell ref="Q163:R163"/>
    <mergeCell ref="A57:A70"/>
    <mergeCell ref="A71:A73"/>
    <mergeCell ref="A74:A82"/>
    <mergeCell ref="A83:A87"/>
    <mergeCell ref="A89:B89"/>
    <mergeCell ref="P121:R121"/>
    <mergeCell ref="P122:R122"/>
    <mergeCell ref="P123:R123"/>
    <mergeCell ref="I100:I112"/>
    <mergeCell ref="P106:S106"/>
    <mergeCell ref="I114:I129"/>
  </mergeCells>
  <conditionalFormatting sqref="S51">
    <cfRule type="cellIs" dxfId="8" priority="1" stopIfTrue="1" operator="lessThan">
      <formula>0</formula>
    </cfRule>
  </conditionalFormatting>
  <hyperlinks>
    <hyperlink ref="AB2" r:id="rId1"/>
    <hyperlink ref="D6" location="'Beer Data Sheet'!J6" display="COPIED from the &quot;Master hop list&quot; as required."/>
    <hyperlink ref="AA6" location="'Beer Data Sheet'!J6" display="COPIED from the &quot;Master hop list&quot; as required."/>
    <hyperlink ref="AC140" r:id="rId2"/>
    <hyperlink ref="AC141" r:id="rId3"/>
    <hyperlink ref="K1" location="'Gluten-Free Calc'!J100" display="See cells J100 etc. for the Isomerised hop extract settings."/>
    <hyperlink ref="L1" location="'Gluten-Free Calc'!J100" display="See cells J100 etc. for the Isomerised hop extract settings."/>
    <hyperlink ref="F3" location="'Extract Calc'!AO20" display="'Extract Calc'!AO20"/>
    <hyperlink ref="H3" location="'Extract Calc'!B79" display="g/litre"/>
    <hyperlink ref="F8" location="'Primer'!D1" display="Priming Calc's. For Beers Etc."/>
    <hyperlink ref="L8" location="'Gluten-Free Calc'!J100" display="See cells J100 etc. for the Isomerised hop extract settings."/>
    <hyperlink ref="K9" location="'Extract Calc'!I66" display="Malt/iso-hop extract bitterness"/>
    <hyperlink ref="L12" location="'Gluten-Free Calc'!J94" display="See the Hop Settings"/>
    <hyperlink ref="S25" r:id="rId4" display="www.PetesPintPot.co.uk"/>
    <hyperlink ref="S27" r:id="rId5" display="www.PetesPintPot.co.uk"/>
    <hyperlink ref="S28" r:id="rId6" display="www.colchesterhomebrew.co.uk"/>
    <hyperlink ref="S30" r:id="rId7" display="www.yobrew.co.uk"/>
    <hyperlink ref="S31" r:id="rId8" display="www.yobrew.co.uk"/>
    <hyperlink ref="S53" r:id="rId9" display="www.yobrew.co.uk"/>
    <hyperlink ref="C9" location="'Extract Calc'!I66" display="Malt/iso-hop extract bitterness"/>
    <hyperlink ref="M8" location="'Gluten-Free Calc'!J100" display="See cells J100 etc. for the Isomerised hop extract settings."/>
    <hyperlink ref="N8" location="'Gluten-Free Calc'!J100" display="See cells J100 etc. for the Isomerised hop extract settings."/>
    <hyperlink ref="O8" location="'Gluten-Free Calc'!J100" display="See cells J100 etc. for the Isomerised hop extract settings."/>
    <hyperlink ref="P8" location="'Gluten-Free Calc'!J100" display="See cells J100 etc. for the Isomerised hop extract settings."/>
    <hyperlink ref="Q8" location="'Gluten-Free Calc'!J100" display="See cells J100 etc. for the Isomerised hop extract settings."/>
    <hyperlink ref="R8" location="'Gluten-Free Calc'!J100" display="See cells J100 etc. for the Isomerised hop extract settings."/>
    <hyperlink ref="Z8" location="'Extract Calc'!I66" display="Malt/iso-hop extract bitterness"/>
  </hyperlinks>
  <printOptions horizontalCentered="1"/>
  <pageMargins left="0.43307086614173229" right="0.43307086614173229" top="0.43307086614173229" bottom="0.51181102362204722" header="0.51181102362204722" footer="0.51181102362204722"/>
  <pageSetup paperSize="9" scale="30" fitToHeight="3" orientation="landscape" horizontalDpi="30066" verticalDpi="26478" r:id="rId10"/>
  <headerFooter alignWithMargins="0"/>
  <rowBreaks count="1" manualBreakCount="1">
    <brk id="88" max="16383" man="1"/>
  </rowBreaks>
  <colBreaks count="1" manualBreakCount="1">
    <brk id="22" max="1048575" man="1"/>
  </colBreaks>
  <drawing r:id="rId11"/>
</worksheet>
</file>

<file path=xl/worksheets/sheet8.xml><?xml version="1.0" encoding="utf-8"?>
<worksheet xmlns="http://schemas.openxmlformats.org/spreadsheetml/2006/main" xmlns:r="http://schemas.openxmlformats.org/officeDocument/2006/relationships">
  <sheetPr>
    <tabColor theme="9" tint="0.59999389629810485"/>
    <pageSetUpPr fitToPage="1"/>
  </sheetPr>
  <dimension ref="A1:AP159"/>
  <sheetViews>
    <sheetView zoomScale="73" zoomScaleNormal="73" zoomScaleSheetLayoutView="75" workbookViewId="0">
      <pane ySplit="16" topLeftCell="A53" activePane="bottomLeft" state="frozen"/>
      <selection activeCell="P62" sqref="P62:U62"/>
      <selection pane="bottomLeft" activeCell="O35" sqref="O35"/>
    </sheetView>
  </sheetViews>
  <sheetFormatPr defaultColWidth="10.140625" defaultRowHeight="15"/>
  <cols>
    <col min="1" max="1" width="2.42578125" style="916" customWidth="1"/>
    <col min="2" max="2" width="35.42578125" style="916" customWidth="1"/>
    <col min="3" max="3" width="10.28515625" style="916" customWidth="1"/>
    <col min="4" max="4" width="10.5703125" style="916" customWidth="1"/>
    <col min="5" max="5" width="10.42578125" style="916" customWidth="1"/>
    <col min="6" max="6" width="10.5703125" style="916" customWidth="1"/>
    <col min="7" max="7" width="23.42578125" style="916" customWidth="1"/>
    <col min="8" max="8" width="12.5703125" style="916" customWidth="1"/>
    <col min="9" max="14" width="9.85546875" style="916" customWidth="1"/>
    <col min="15" max="17" width="9.7109375" style="916" customWidth="1"/>
    <col min="18" max="18" width="2.28515625" style="916" customWidth="1"/>
    <col min="19" max="35" width="6.85546875" style="916" hidden="1" customWidth="1"/>
    <col min="36" max="36" width="4.42578125" style="916" customWidth="1"/>
    <col min="37" max="37" width="7.7109375" style="916" customWidth="1"/>
    <col min="38" max="38" width="8" style="916" customWidth="1"/>
    <col min="39" max="41" width="7.5703125" style="916" customWidth="1"/>
    <col min="42" max="42" width="4.5703125" style="916" customWidth="1"/>
    <col min="43" max="16384" width="10.140625" style="916"/>
  </cols>
  <sheetData>
    <row r="1" spans="1:42" ht="30">
      <c r="A1" s="5493" t="s">
        <v>1918</v>
      </c>
      <c r="B1" s="5493"/>
      <c r="C1" s="912"/>
      <c r="D1" s="912"/>
      <c r="E1" s="913"/>
      <c r="F1" s="4430" t="s">
        <v>1901</v>
      </c>
      <c r="G1" s="4430"/>
      <c r="H1" s="4430"/>
      <c r="I1" s="4430"/>
      <c r="J1" s="4430"/>
      <c r="K1" s="908"/>
      <c r="L1" s="908"/>
      <c r="M1" s="912"/>
      <c r="N1" s="583"/>
      <c r="O1" s="914"/>
      <c r="P1" s="4674" t="s">
        <v>1917</v>
      </c>
      <c r="Q1" s="4674"/>
      <c r="R1" s="3500"/>
      <c r="S1" s="5491" t="s">
        <v>0</v>
      </c>
      <c r="T1" s="5491"/>
      <c r="U1" s="5491"/>
      <c r="V1" s="5491"/>
      <c r="W1" s="5491"/>
      <c r="X1" s="5491"/>
      <c r="Y1" s="5491"/>
      <c r="Z1" s="5491"/>
      <c r="AA1" s="5491"/>
      <c r="AB1" s="5491"/>
      <c r="AC1" s="5491"/>
      <c r="AD1" s="5491"/>
      <c r="AE1" s="5491"/>
      <c r="AF1" s="5491"/>
      <c r="AG1" s="5491"/>
      <c r="AH1" s="5491"/>
      <c r="AI1" s="5491"/>
      <c r="AJ1" s="915"/>
      <c r="AK1" s="915"/>
      <c r="AL1" s="915"/>
      <c r="AM1" s="915"/>
      <c r="AN1" s="915"/>
      <c r="AO1" s="915"/>
      <c r="AP1" s="915"/>
    </row>
    <row r="2" spans="1:42">
      <c r="A2" s="917"/>
      <c r="B2" s="917"/>
      <c r="C2" s="918"/>
      <c r="D2" s="918"/>
      <c r="E2" s="919"/>
      <c r="F2" s="919"/>
      <c r="G2" s="5492" t="s">
        <v>764</v>
      </c>
      <c r="H2" s="5492"/>
      <c r="I2" s="5492"/>
      <c r="J2" s="919"/>
      <c r="K2" s="919"/>
      <c r="L2" s="344"/>
      <c r="M2" s="344"/>
      <c r="N2" s="344"/>
      <c r="O2" s="4247" t="s">
        <v>1</v>
      </c>
      <c r="P2" s="4247"/>
      <c r="Q2" s="4247"/>
      <c r="R2" s="3475"/>
      <c r="S2" s="450"/>
      <c r="T2" s="450"/>
      <c r="U2" s="450"/>
      <c r="V2" s="450"/>
      <c r="W2" s="450"/>
      <c r="X2" s="450"/>
      <c r="Y2" s="450"/>
      <c r="Z2" s="450"/>
      <c r="AA2" s="450"/>
      <c r="AB2" s="450"/>
      <c r="AC2" s="450"/>
      <c r="AD2" s="450"/>
      <c r="AE2" s="450"/>
      <c r="AF2" s="450"/>
      <c r="AG2" s="450"/>
      <c r="AH2" s="450"/>
      <c r="AI2" s="450"/>
      <c r="AJ2" s="915"/>
      <c r="AK2" s="915"/>
      <c r="AL2" s="915"/>
      <c r="AM2" s="915"/>
      <c r="AN2" s="915"/>
      <c r="AO2" s="915"/>
      <c r="AP2" s="915"/>
    </row>
    <row r="3" spans="1:42" ht="15" customHeight="1">
      <c r="A3" s="917"/>
      <c r="B3" s="917"/>
      <c r="C3" s="918"/>
      <c r="D3" s="918"/>
      <c r="E3" s="918"/>
      <c r="F3" s="918"/>
      <c r="G3" s="920"/>
      <c r="H3" s="921"/>
      <c r="I3" s="922"/>
      <c r="J3" s="923"/>
      <c r="K3" s="344"/>
      <c r="L3" s="924"/>
      <c r="M3" s="344"/>
      <c r="N3" s="344"/>
      <c r="O3" s="5500" t="s">
        <v>307</v>
      </c>
      <c r="P3" s="5500"/>
      <c r="Q3" s="5500"/>
      <c r="R3" s="3475"/>
      <c r="S3" s="925"/>
      <c r="T3" s="925"/>
      <c r="U3" s="925"/>
      <c r="V3" s="925"/>
      <c r="W3" s="925"/>
      <c r="X3" s="925"/>
      <c r="Y3" s="925"/>
      <c r="Z3" s="926"/>
      <c r="AA3" s="926"/>
      <c r="AB3" s="926"/>
      <c r="AC3" s="926"/>
      <c r="AD3" s="926"/>
      <c r="AE3" s="926"/>
      <c r="AF3" s="926"/>
      <c r="AG3" s="926"/>
      <c r="AH3" s="926"/>
      <c r="AI3" s="926"/>
      <c r="AJ3" s="915"/>
      <c r="AK3" s="915"/>
      <c r="AL3" s="915"/>
      <c r="AM3" s="915"/>
      <c r="AN3" s="915"/>
      <c r="AO3" s="915"/>
      <c r="AP3" s="915"/>
    </row>
    <row r="4" spans="1:42" ht="16.5" customHeight="1">
      <c r="A4" s="5633" t="s">
        <v>3</v>
      </c>
      <c r="B4" s="5633"/>
      <c r="C4" s="5633"/>
      <c r="D4" s="5633"/>
      <c r="E4" s="5633"/>
      <c r="F4" s="350"/>
      <c r="G4" s="927" t="s">
        <v>4</v>
      </c>
      <c r="H4" s="928">
        <v>23</v>
      </c>
      <c r="I4" s="5501" t="str">
        <f>"litres ≈ "&amp;FIXED(H4*1.76)&amp;" UK ̸ "&amp;FIXED(H4*2.1134)&amp;" US pt."</f>
        <v>litres ≈ 40.48 UK ̸ 48.61 US pt.</v>
      </c>
      <c r="J4" s="5501"/>
      <c r="K4" s="5501"/>
      <c r="L4" s="929"/>
      <c r="M4" s="5502" t="s">
        <v>765</v>
      </c>
      <c r="N4" s="5502"/>
      <c r="O4" s="5502"/>
      <c r="P4" s="5502"/>
      <c r="Q4" s="5502"/>
      <c r="R4" s="350"/>
      <c r="S4" s="925"/>
      <c r="T4" s="925"/>
      <c r="U4" s="925"/>
      <c r="V4" s="925" t="s">
        <v>162</v>
      </c>
      <c r="W4" s="925"/>
      <c r="X4" s="925"/>
      <c r="Y4" s="925"/>
      <c r="Z4" s="926"/>
      <c r="AA4" s="926"/>
      <c r="AB4" s="926"/>
      <c r="AC4" s="926"/>
      <c r="AD4" s="926"/>
      <c r="AE4" s="926"/>
      <c r="AF4" s="926"/>
      <c r="AG4" s="926"/>
      <c r="AH4" s="926"/>
      <c r="AI4" s="926"/>
      <c r="AJ4" s="915"/>
      <c r="AK4" s="915"/>
      <c r="AL4" s="915"/>
      <c r="AM4" s="915"/>
      <c r="AN4" s="915"/>
      <c r="AO4" s="915"/>
      <c r="AP4" s="915"/>
    </row>
    <row r="5" spans="1:42" ht="16.5" customHeight="1">
      <c r="A5" s="917"/>
      <c r="B5" s="915"/>
      <c r="C5" s="915"/>
      <c r="D5" s="915"/>
      <c r="E5" s="915"/>
      <c r="F5" s="913"/>
      <c r="G5" s="930" t="s">
        <v>5</v>
      </c>
      <c r="H5" s="357">
        <v>20</v>
      </c>
      <c r="I5" s="3488" t="s">
        <v>766</v>
      </c>
      <c r="J5" s="913"/>
      <c r="K5" s="931"/>
      <c r="L5" s="3855" t="s">
        <v>1948</v>
      </c>
      <c r="M5" s="5502"/>
      <c r="N5" s="5502"/>
      <c r="O5" s="5502"/>
      <c r="P5" s="5502"/>
      <c r="Q5" s="5502"/>
      <c r="R5" s="350"/>
      <c r="S5" s="395"/>
      <c r="T5" s="395"/>
      <c r="U5" s="395"/>
      <c r="V5" s="395"/>
      <c r="W5" s="395"/>
      <c r="X5" s="395"/>
      <c r="Y5" s="395"/>
      <c r="Z5" s="449"/>
      <c r="AA5" s="449"/>
      <c r="AB5" s="449"/>
      <c r="AC5" s="449"/>
      <c r="AD5" s="449"/>
      <c r="AE5" s="449"/>
      <c r="AF5" s="449"/>
      <c r="AG5" s="449"/>
      <c r="AH5" s="449"/>
      <c r="AI5" s="449"/>
      <c r="AJ5" s="915"/>
      <c r="AK5" s="915"/>
      <c r="AL5" s="915"/>
      <c r="AM5" s="915"/>
      <c r="AN5" s="915"/>
      <c r="AO5" s="915"/>
      <c r="AP5" s="915"/>
    </row>
    <row r="6" spans="1:42" ht="6" customHeight="1">
      <c r="A6" s="360"/>
      <c r="B6" s="932"/>
      <c r="C6" s="932"/>
      <c r="D6" s="932"/>
      <c r="E6" s="932"/>
      <c r="F6" s="360"/>
      <c r="G6" s="360"/>
      <c r="H6" s="360"/>
      <c r="I6" s="360"/>
      <c r="J6" s="360"/>
      <c r="K6" s="360"/>
      <c r="L6" s="360"/>
      <c r="M6" s="360"/>
      <c r="N6" s="360"/>
      <c r="O6" s="360"/>
      <c r="P6" s="360"/>
      <c r="Q6" s="360"/>
      <c r="R6" s="3501"/>
      <c r="S6" s="395"/>
      <c r="T6" s="395"/>
      <c r="U6" s="395"/>
      <c r="V6" s="395"/>
      <c r="W6" s="395"/>
      <c r="X6" s="395"/>
      <c r="Y6" s="395"/>
      <c r="Z6" s="449"/>
      <c r="AA6" s="449"/>
      <c r="AB6" s="449"/>
      <c r="AC6" s="449"/>
      <c r="AD6" s="449"/>
      <c r="AE6" s="449"/>
      <c r="AF6" s="449"/>
      <c r="AG6" s="449"/>
      <c r="AH6" s="449"/>
      <c r="AI6" s="449"/>
      <c r="AJ6" s="915"/>
      <c r="AK6" s="915"/>
      <c r="AL6" s="915"/>
      <c r="AM6" s="915"/>
      <c r="AN6" s="915"/>
      <c r="AO6" s="915"/>
      <c r="AP6" s="915"/>
    </row>
    <row r="7" spans="1:42" ht="16.5" customHeight="1">
      <c r="A7" s="5503" t="s">
        <v>10</v>
      </c>
      <c r="B7" s="5503"/>
      <c r="C7" s="5503"/>
      <c r="D7" s="5504" t="s">
        <v>767</v>
      </c>
      <c r="E7" s="5504"/>
      <c r="F7" s="5504"/>
      <c r="G7" s="5504"/>
      <c r="H7" s="3452" t="s">
        <v>11</v>
      </c>
      <c r="I7" s="5505" t="s">
        <v>12</v>
      </c>
      <c r="J7" s="5506"/>
      <c r="K7" s="5506"/>
      <c r="L7" s="5506"/>
      <c r="M7" s="5506"/>
      <c r="N7" s="5506"/>
      <c r="O7" s="5506"/>
      <c r="P7" s="5506"/>
      <c r="Q7" s="5506"/>
      <c r="R7" s="933"/>
      <c r="S7" s="934"/>
      <c r="T7" s="934"/>
      <c r="U7" s="934"/>
      <c r="V7" s="364"/>
      <c r="W7" s="364"/>
      <c r="X7" s="364"/>
      <c r="Y7" s="364"/>
      <c r="Z7" s="365"/>
      <c r="AA7" s="365"/>
      <c r="AB7" s="365"/>
      <c r="AC7" s="365"/>
      <c r="AD7" s="365"/>
      <c r="AE7" s="365"/>
      <c r="AF7" s="365"/>
      <c r="AG7" s="365"/>
      <c r="AH7" s="365"/>
      <c r="AI7" s="365"/>
      <c r="AJ7" s="915"/>
      <c r="AK7" s="5545" t="s">
        <v>69</v>
      </c>
      <c r="AL7" s="5545"/>
      <c r="AM7" s="5545"/>
      <c r="AN7" s="5545"/>
      <c r="AO7" s="5545"/>
      <c r="AP7" s="2866"/>
    </row>
    <row r="8" spans="1:42" ht="16.5" customHeight="1">
      <c r="A8" s="5494" t="s">
        <v>768</v>
      </c>
      <c r="B8" s="5494"/>
      <c r="C8" s="3060">
        <f>1000+W50</f>
        <v>1030.3260869565217</v>
      </c>
      <c r="D8" s="5566" t="s">
        <v>769</v>
      </c>
      <c r="E8" s="5567"/>
      <c r="F8" s="5568"/>
      <c r="G8" s="3061">
        <f>1000+W49</f>
        <v>1031.5073369565218</v>
      </c>
      <c r="H8" s="3453">
        <f>G8</f>
        <v>1031.5073369565218</v>
      </c>
      <c r="I8" s="5569" t="s">
        <v>15</v>
      </c>
      <c r="J8" s="5569"/>
      <c r="K8" s="5569"/>
      <c r="L8" s="5569"/>
      <c r="M8" s="5569"/>
      <c r="N8" s="5569"/>
      <c r="O8" s="5569"/>
      <c r="P8" s="5569"/>
      <c r="Q8" s="5569"/>
      <c r="R8" s="936"/>
      <c r="S8" s="358"/>
      <c r="T8" s="358"/>
      <c r="U8" s="358"/>
      <c r="V8" s="364"/>
      <c r="W8" s="364"/>
      <c r="X8" s="364"/>
      <c r="Y8" s="364"/>
      <c r="Z8" s="365"/>
      <c r="AA8" s="365"/>
      <c r="AB8" s="365"/>
      <c r="AC8" s="365"/>
      <c r="AD8" s="365"/>
      <c r="AE8" s="365"/>
      <c r="AF8" s="365"/>
      <c r="AG8" s="365"/>
      <c r="AH8" s="365"/>
      <c r="AI8" s="365"/>
      <c r="AJ8" s="915"/>
      <c r="AK8" s="937" t="s">
        <v>77</v>
      </c>
      <c r="AL8" s="938" t="s">
        <v>78</v>
      </c>
      <c r="AM8" s="2862" t="s">
        <v>79</v>
      </c>
      <c r="AN8" s="915"/>
      <c r="AO8" s="915"/>
      <c r="AP8" s="915"/>
    </row>
    <row r="9" spans="1:42" ht="16.5" customHeight="1">
      <c r="A9" s="5494" t="s">
        <v>770</v>
      </c>
      <c r="B9" s="5494"/>
      <c r="C9" s="366">
        <f>1000+W51</f>
        <v>1003.739402173913</v>
      </c>
      <c r="D9" s="5570" t="s">
        <v>771</v>
      </c>
      <c r="E9" s="5571"/>
      <c r="F9" s="5572"/>
      <c r="G9" s="3062">
        <f>1000+W52</f>
        <v>1003.6460834239131</v>
      </c>
      <c r="H9" s="3454">
        <f>G9</f>
        <v>1003.6460834239131</v>
      </c>
      <c r="I9" s="5573"/>
      <c r="J9" s="5574"/>
      <c r="K9" s="5574"/>
      <c r="L9" s="4458" t="s">
        <v>18</v>
      </c>
      <c r="M9" s="5575"/>
      <c r="N9" s="5576" t="s">
        <v>19</v>
      </c>
      <c r="O9" s="5576"/>
      <c r="P9" s="4469" t="s">
        <v>20</v>
      </c>
      <c r="Q9" s="5499"/>
      <c r="R9" s="936"/>
      <c r="S9" s="939" t="s">
        <v>21</v>
      </c>
      <c r="T9" s="939" t="s">
        <v>22</v>
      </c>
      <c r="U9" s="939" t="s">
        <v>23</v>
      </c>
      <c r="V9" s="364"/>
      <c r="W9" s="364"/>
      <c r="X9" s="364"/>
      <c r="Y9" s="364"/>
      <c r="Z9" s="365"/>
      <c r="AA9" s="365"/>
      <c r="AB9" s="365"/>
      <c r="AC9" s="365"/>
      <c r="AD9" s="365"/>
      <c r="AE9" s="365"/>
      <c r="AF9" s="365"/>
      <c r="AG9" s="365"/>
      <c r="AH9" s="365"/>
      <c r="AI9" s="365"/>
      <c r="AJ9" s="915"/>
      <c r="AK9" s="940">
        <v>1</v>
      </c>
      <c r="AL9" s="941">
        <f>AK9*6/5</f>
        <v>1.2</v>
      </c>
      <c r="AM9" s="3214">
        <f t="shared" ref="AM9:AM15" si="0">3.7854*AL9/8</f>
        <v>0.56781000000000004</v>
      </c>
      <c r="AN9" s="915"/>
      <c r="AO9" s="915"/>
      <c r="AP9" s="915"/>
    </row>
    <row r="10" spans="1:42" ht="16.5" customHeight="1">
      <c r="A10" s="5494" t="s">
        <v>24</v>
      </c>
      <c r="B10" s="5494"/>
      <c r="C10" s="942">
        <f>(C8-C9)/(7.75-(3*(C8-1000)/800))</f>
        <v>3.4816290945323209</v>
      </c>
      <c r="D10" s="5495" t="s">
        <v>25</v>
      </c>
      <c r="E10" s="5496"/>
      <c r="F10" s="5497"/>
      <c r="G10" s="943">
        <f>(G8-G9)/(7.75-(3*(G8-1000)/800))</f>
        <v>3.6506564868087423</v>
      </c>
      <c r="H10" s="3454">
        <f>G10</f>
        <v>3.6506564868087423</v>
      </c>
      <c r="I10" s="5498" t="s">
        <v>26</v>
      </c>
      <c r="J10" s="5498"/>
      <c r="K10" s="5498"/>
      <c r="L10" s="3063">
        <v>500</v>
      </c>
      <c r="M10" s="3064" t="s">
        <v>27</v>
      </c>
      <c r="N10" s="3065">
        <v>1</v>
      </c>
      <c r="O10" s="3066" t="s">
        <v>28</v>
      </c>
      <c r="P10" s="3067">
        <v>12</v>
      </c>
      <c r="Q10" s="3068" t="s">
        <v>29</v>
      </c>
      <c r="R10" s="944"/>
      <c r="S10" s="945">
        <v>789.4</v>
      </c>
      <c r="T10" s="945">
        <v>7.01</v>
      </c>
      <c r="U10" s="945">
        <v>3.85</v>
      </c>
      <c r="V10" s="364"/>
      <c r="W10" s="364"/>
      <c r="X10" s="364"/>
      <c r="Y10" s="364"/>
      <c r="Z10" s="365"/>
      <c r="AA10" s="365"/>
      <c r="AB10" s="365"/>
      <c r="AC10" s="365"/>
      <c r="AD10" s="365"/>
      <c r="AE10" s="365"/>
      <c r="AF10" s="365"/>
      <c r="AG10" s="365"/>
      <c r="AH10" s="365"/>
      <c r="AI10" s="365"/>
      <c r="AJ10" s="915"/>
      <c r="AK10" s="940">
        <v>2</v>
      </c>
      <c r="AL10" s="941">
        <f t="shared" ref="AL10:AL15" si="1">AK10*6/5</f>
        <v>2.4</v>
      </c>
      <c r="AM10" s="3214">
        <f t="shared" si="0"/>
        <v>1.1356200000000001</v>
      </c>
      <c r="AN10" s="915"/>
      <c r="AO10" s="915"/>
      <c r="AP10" s="915"/>
    </row>
    <row r="11" spans="1:42" ht="16.5" customHeight="1">
      <c r="A11" s="5546" t="s">
        <v>30</v>
      </c>
      <c r="B11" s="5546"/>
      <c r="C11" s="946">
        <f>VLOOKUP($H$5,$S$47:$T$90,2)</f>
        <v>0.877</v>
      </c>
      <c r="D11" s="5547" t="s">
        <v>772</v>
      </c>
      <c r="E11" s="5548"/>
      <c r="F11" s="5549"/>
      <c r="G11" s="947">
        <f>C48</f>
        <v>1.7022631578947367</v>
      </c>
      <c r="H11" s="3454">
        <f>G11</f>
        <v>1.7022631578947367</v>
      </c>
      <c r="I11" s="5550" t="s">
        <v>32</v>
      </c>
      <c r="J11" s="5550"/>
      <c r="K11" s="5550"/>
      <c r="L11" s="948">
        <f>T11*L10</f>
        <v>101.00807948557308</v>
      </c>
      <c r="M11" s="371"/>
      <c r="N11" s="949">
        <f>568*T11*N10</f>
        <v>114.74517829561103</v>
      </c>
      <c r="O11" s="373"/>
      <c r="P11" s="948">
        <f>29.57*T11*P10</f>
        <v>71.683413849321511</v>
      </c>
      <c r="Q11" s="3069"/>
      <c r="R11" s="566"/>
      <c r="S11" s="358"/>
      <c r="T11" s="950">
        <f>0.01*S12*(G8-G9)/(7.75-(3*(G8-1000)/800))</f>
        <v>0.20201615897114616</v>
      </c>
      <c r="U11" s="950" t="s">
        <v>33</v>
      </c>
      <c r="V11" s="364"/>
      <c r="W11" s="364"/>
      <c r="X11" s="364"/>
      <c r="Y11" s="364"/>
      <c r="Z11" s="365"/>
      <c r="AA11" s="365"/>
      <c r="AB11" s="365"/>
      <c r="AC11" s="365"/>
      <c r="AD11" s="365"/>
      <c r="AE11" s="365"/>
      <c r="AF11" s="365"/>
      <c r="AG11" s="365"/>
      <c r="AH11" s="365"/>
      <c r="AI11" s="365"/>
      <c r="AJ11" s="915"/>
      <c r="AK11" s="940">
        <v>10</v>
      </c>
      <c r="AL11" s="941">
        <f t="shared" si="1"/>
        <v>12</v>
      </c>
      <c r="AM11" s="3214">
        <f t="shared" si="0"/>
        <v>5.6781000000000006</v>
      </c>
      <c r="AN11" s="915"/>
      <c r="AO11" s="915"/>
      <c r="AP11" s="915"/>
    </row>
    <row r="12" spans="1:42" ht="16.5" customHeight="1">
      <c r="A12" s="5557" t="s">
        <v>773</v>
      </c>
      <c r="B12" s="5558"/>
      <c r="C12" s="3605" t="str">
        <f>J63&amp;","</f>
        <v>30.6 EBU,</v>
      </c>
      <c r="D12" s="5559" t="str">
        <f>"the actual BU ̸ GU ratio is "&amp;FIXED(W13)&amp;" ("&amp;IF(W13&gt;0.81,"Too Hoppy?",IF(W13&gt;0.65,"Very Hoppy",IF(W13&gt;0.55,"Slightly Hoppy",IF(W13&gt;0.45,"Balanced",IF(W13&gt;0.35,"Slightly Malty",IF(W13&gt;0.25,"Very Malty",IF((W13+0.001)&gt;0,"Too Malty?")))))))&amp;")"</f>
        <v>the actual BU ̸ GU ratio is 0.97 (Too Hoppy?)</v>
      </c>
      <c r="E12" s="5559"/>
      <c r="F12" s="5559"/>
      <c r="G12" s="5560"/>
      <c r="H12" s="3455">
        <v>30</v>
      </c>
      <c r="I12" s="5561" t="s">
        <v>35</v>
      </c>
      <c r="J12" s="5561"/>
      <c r="K12" s="5561"/>
      <c r="L12" s="948">
        <f>T12*L10</f>
        <v>41.107889019567793</v>
      </c>
      <c r="M12" s="371"/>
      <c r="N12" s="949">
        <f>568*T12*N10</f>
        <v>46.698561926229011</v>
      </c>
      <c r="O12" s="373"/>
      <c r="P12" s="948">
        <f>29.57*T12*P10</f>
        <v>29.173446679406872</v>
      </c>
      <c r="Q12" s="3069"/>
      <c r="R12" s="566"/>
      <c r="S12" s="945">
        <f>T10*S10/1000</f>
        <v>5.5336939999999997</v>
      </c>
      <c r="T12" s="950">
        <f>0.00000001*G9*((1000*G8)/S12+(819.2*G9)-1000400)</f>
        <v>8.2215778039135587E-2</v>
      </c>
      <c r="U12" s="950" t="s">
        <v>33</v>
      </c>
      <c r="V12" s="364"/>
      <c r="W12" s="913"/>
      <c r="X12" s="364"/>
      <c r="Y12" s="364"/>
      <c r="Z12" s="365"/>
      <c r="AA12" s="365"/>
      <c r="AB12" s="365"/>
      <c r="AC12" s="365"/>
      <c r="AD12" s="365"/>
      <c r="AE12" s="365"/>
      <c r="AF12" s="365"/>
      <c r="AG12" s="365"/>
      <c r="AH12" s="365"/>
      <c r="AI12" s="365"/>
      <c r="AJ12" s="915"/>
      <c r="AK12" s="940">
        <v>23</v>
      </c>
      <c r="AL12" s="941">
        <f t="shared" si="1"/>
        <v>27.6</v>
      </c>
      <c r="AM12" s="3214">
        <f t="shared" si="0"/>
        <v>13.05963</v>
      </c>
      <c r="AN12" s="915"/>
      <c r="AO12" s="915"/>
      <c r="AP12" s="915"/>
    </row>
    <row r="13" spans="1:42" ht="16.5" customHeight="1">
      <c r="A13" s="5562" t="s">
        <v>317</v>
      </c>
      <c r="B13" s="5563"/>
      <c r="C13" s="3605" t="str">
        <f>M63&amp;","</f>
        <v>30.7 EBU,</v>
      </c>
      <c r="D13" s="5564" t="str">
        <f>"the actual BU ̸ GU ratio is "&amp;FIXED(W14)&amp;" ("&amp;IF(W14&gt;0.81,"Too Hoppy?",IF(W14&gt;0.65,"Very Hoppy",IF(W14&gt;0.55,"Slightly Hoppy",IF(W14&gt;0.45,"Balanced",IF(W14&gt;0.35,"Slightly Malty",IF(W14&gt;0.25,"Very Malty",IF((W14+0.001)&gt;0,"Too Malty?")))))))&amp;")"</f>
        <v>the actual BU ̸ GU ratio is 0.98 (Too Hoppy?)</v>
      </c>
      <c r="E13" s="5564"/>
      <c r="F13" s="5564"/>
      <c r="G13" s="5565"/>
      <c r="H13" s="4922" t="str">
        <f>"("&amp;IF(H12/((H8-1000)+0.001)&gt;0.81,"Too Hoppy?",IF(H12/(H8-1000)&gt;0.65,"Very Hoppy",IF(H12/(H8-1000)&gt;0.55,"Slightly Hoppy",IF(H12/(H8-1000)&gt;0.45,"Balanced",IF(H12/(H8-1000)&gt;0.35,"Slightly Malty",IF(H12/(H8-1000)&gt;0.25,"Very Malty",IF((H12+0.001)/(H8-1000)&gt;0,"Too Malty?")))))))&amp;")"</f>
        <v>(Too Hoppy?)</v>
      </c>
      <c r="I13" s="4485" t="s">
        <v>37</v>
      </c>
      <c r="J13" s="4485"/>
      <c r="K13" s="4485"/>
      <c r="L13" s="951">
        <f>SUM(L11:L12)</f>
        <v>142.11596850514087</v>
      </c>
      <c r="M13" s="377"/>
      <c r="N13" s="952">
        <f>SUM(N11:N12)</f>
        <v>161.44374022184005</v>
      </c>
      <c r="O13" s="379"/>
      <c r="P13" s="951">
        <f>SUM(P11:P12)</f>
        <v>100.85686052872839</v>
      </c>
      <c r="Q13" s="953"/>
      <c r="R13" s="954"/>
      <c r="S13" s="358"/>
      <c r="T13" s="950"/>
      <c r="U13" s="950"/>
      <c r="V13" s="955"/>
      <c r="W13" s="358">
        <f>((SUM(I61:K61)+FIXED((I54*'Beer Data Sheet'!$T$16/$H$4)))/W49)</f>
        <v>0.9708588960284984</v>
      </c>
      <c r="X13" s="364"/>
      <c r="Y13" s="955"/>
      <c r="Z13" s="365"/>
      <c r="AA13" s="365"/>
      <c r="AB13" s="365"/>
      <c r="AC13" s="365"/>
      <c r="AD13" s="365"/>
      <c r="AE13" s="365"/>
      <c r="AF13" s="365"/>
      <c r="AG13" s="365"/>
      <c r="AH13" s="365"/>
      <c r="AI13" s="365"/>
      <c r="AJ13" s="915"/>
      <c r="AK13" s="940">
        <v>25</v>
      </c>
      <c r="AL13" s="941">
        <f t="shared" si="1"/>
        <v>30</v>
      </c>
      <c r="AM13" s="3214">
        <f t="shared" si="0"/>
        <v>14.19525</v>
      </c>
      <c r="AN13" s="915"/>
      <c r="AO13" s="915"/>
      <c r="AP13" s="915"/>
    </row>
    <row r="14" spans="1:42" ht="16.5" customHeight="1">
      <c r="A14" s="5508" t="s">
        <v>774</v>
      </c>
      <c r="B14" s="5509"/>
      <c r="C14" s="3605" t="str">
        <f>P63&amp;","</f>
        <v>30.3 EBU,</v>
      </c>
      <c r="D14" s="5577" t="str">
        <f>"the actual BU ̸ GU ratio is "&amp;FIXED(W15)&amp;" ("&amp;IF(W15&gt;0.81,"Too Hoppy?",IF(W15&gt;0.65,"Very Hoppy",IF(W15&gt;0.55,"Slightly Hoppy",IF(W15&gt;0.45,"Balanced",IF(W15&gt;0.35,"Slightly Malty",IF(W15&gt;0.25,"Very Malty",IF((W15+0.001)&gt;0,"Too Malty?")))))))&amp;")"</f>
        <v>the actual BU ̸ GU ratio is 0.96 (Too Hoppy?)</v>
      </c>
      <c r="E14" s="5577"/>
      <c r="F14" s="5577"/>
      <c r="G14" s="5578"/>
      <c r="H14" s="4484"/>
      <c r="I14" s="5561" t="s">
        <v>39</v>
      </c>
      <c r="J14" s="5561"/>
      <c r="K14" s="5561"/>
      <c r="L14" s="956">
        <f>L12/U10</f>
        <v>10.67737377131631</v>
      </c>
      <c r="M14" s="382" t="s">
        <v>40</v>
      </c>
      <c r="N14" s="957">
        <f>N12/U10</f>
        <v>12.129496604215328</v>
      </c>
      <c r="O14" s="384" t="s">
        <v>40</v>
      </c>
      <c r="P14" s="956">
        <f>P12/U10</f>
        <v>7.5775186180277592</v>
      </c>
      <c r="Q14" s="3070" t="s">
        <v>40</v>
      </c>
      <c r="R14" s="958"/>
      <c r="S14" s="955"/>
      <c r="T14" s="955"/>
      <c r="U14" s="955"/>
      <c r="V14" s="955"/>
      <c r="W14" s="358">
        <f>((SUM(L61:N61)+FIXED((L54*'Beer Data Sheet'!$T$16/$H$4)))/W49)</f>
        <v>0.97587467228259694</v>
      </c>
      <c r="X14" s="364"/>
      <c r="Y14" s="955"/>
      <c r="Z14" s="365"/>
      <c r="AA14" s="365"/>
      <c r="AB14" s="365"/>
      <c r="AC14" s="365"/>
      <c r="AD14" s="365"/>
      <c r="AE14" s="365"/>
      <c r="AF14" s="365"/>
      <c r="AG14" s="365"/>
      <c r="AH14" s="365"/>
      <c r="AI14" s="365"/>
      <c r="AJ14" s="915"/>
      <c r="AK14" s="940">
        <v>26.47</v>
      </c>
      <c r="AL14" s="941">
        <f t="shared" si="1"/>
        <v>31.763999999999999</v>
      </c>
      <c r="AM14" s="3214">
        <f t="shared" si="0"/>
        <v>15.0299307</v>
      </c>
      <c r="AN14" s="915"/>
      <c r="AO14" s="915"/>
      <c r="AP14" s="915"/>
    </row>
    <row r="15" spans="1:42" ht="15.75" customHeight="1">
      <c r="A15" s="5551" t="s">
        <v>43</v>
      </c>
      <c r="B15" s="5552"/>
      <c r="C15" s="959" t="str">
        <f>FIXED(Y42,1)&amp;" EBC "</f>
        <v xml:space="preserve">4.2 EBC </v>
      </c>
      <c r="D15" s="5553" t="str">
        <f>"≈  "&amp;FIXED(0.508*Y42,1)&amp;" SRM"</f>
        <v>≈  2.2 SRM</v>
      </c>
      <c r="E15" s="5554"/>
      <c r="F15" s="5555"/>
      <c r="G15" s="3071" t="s">
        <v>46</v>
      </c>
      <c r="H15" s="3456">
        <v>5</v>
      </c>
      <c r="I15" s="5556" t="s">
        <v>47</v>
      </c>
      <c r="J15" s="5556"/>
      <c r="K15" s="5556"/>
      <c r="L15" s="389">
        <f>G10*L10/1000</f>
        <v>1.8253282434043714</v>
      </c>
      <c r="M15" s="960"/>
      <c r="N15" s="3072">
        <f>G10*N10*568.26/1000</f>
        <v>2.0745220551939361</v>
      </c>
      <c r="O15" s="3073"/>
      <c r="P15" s="389">
        <f>G10*P10*29.574/1000</f>
        <v>1.2955741792905811</v>
      </c>
      <c r="Q15" s="3074"/>
      <c r="R15" s="961"/>
      <c r="S15" s="913"/>
      <c r="T15" s="955"/>
      <c r="U15" s="955"/>
      <c r="V15" s="955"/>
      <c r="W15" s="358">
        <f>((SUM(O61:Q61)+FIXED((O54*'Beer Data Sheet'!$T$16/$H$4)))/W49)</f>
        <v>0.96171546673631292</v>
      </c>
      <c r="X15" s="364"/>
      <c r="Y15" s="364"/>
      <c r="Z15" s="365"/>
      <c r="AA15" s="365"/>
      <c r="AB15" s="365"/>
      <c r="AC15" s="365"/>
      <c r="AD15" s="365"/>
      <c r="AE15" s="365"/>
      <c r="AF15" s="365"/>
      <c r="AG15" s="365"/>
      <c r="AH15" s="365"/>
      <c r="AI15" s="365"/>
      <c r="AJ15" s="915"/>
      <c r="AK15" s="940">
        <v>27</v>
      </c>
      <c r="AL15" s="941">
        <f t="shared" si="1"/>
        <v>32.4</v>
      </c>
      <c r="AM15" s="3214">
        <f t="shared" si="0"/>
        <v>15.330869999999999</v>
      </c>
      <c r="AN15" s="915"/>
      <c r="AO15" s="915"/>
      <c r="AP15" s="915"/>
    </row>
    <row r="16" spans="1:42" ht="3.75" customHeight="1">
      <c r="A16" s="962"/>
      <c r="B16" s="962"/>
      <c r="C16" s="963"/>
      <c r="D16" s="964"/>
      <c r="E16" s="964"/>
      <c r="F16" s="964"/>
      <c r="G16" s="965"/>
      <c r="H16" s="1812"/>
      <c r="I16" s="3520"/>
      <c r="J16" s="3520"/>
      <c r="K16" s="3520"/>
      <c r="L16" s="399"/>
      <c r="M16" s="400"/>
      <c r="N16" s="399"/>
      <c r="O16" s="400"/>
      <c r="P16" s="399"/>
      <c r="Q16" s="966"/>
      <c r="R16" s="961"/>
      <c r="S16" s="913"/>
      <c r="T16" s="955"/>
      <c r="U16" s="955"/>
      <c r="V16" s="955"/>
      <c r="W16" s="358"/>
      <c r="X16" s="364"/>
      <c r="Y16" s="364"/>
      <c r="Z16" s="365"/>
      <c r="AA16" s="365"/>
      <c r="AB16" s="365"/>
      <c r="AC16" s="365"/>
      <c r="AD16" s="365"/>
      <c r="AE16" s="365"/>
      <c r="AF16" s="365"/>
      <c r="AG16" s="365"/>
      <c r="AH16" s="365"/>
      <c r="AI16" s="365"/>
      <c r="AJ16" s="915"/>
      <c r="AK16" s="2866"/>
      <c r="AL16" s="2866"/>
      <c r="AM16" s="2866"/>
      <c r="AN16" s="915"/>
      <c r="AO16" s="915"/>
      <c r="AP16" s="915"/>
    </row>
    <row r="17" spans="1:42" ht="18.75" customHeight="1">
      <c r="A17" s="3487"/>
      <c r="B17" s="358"/>
      <c r="C17" s="402"/>
      <c r="D17" s="403"/>
      <c r="E17" s="403"/>
      <c r="F17" s="403"/>
      <c r="G17" s="403"/>
      <c r="H17" s="403"/>
      <c r="I17" s="3483"/>
      <c r="J17" s="3483"/>
      <c r="K17" s="967"/>
      <c r="L17" s="967"/>
      <c r="M17" s="915"/>
      <c r="N17" s="915"/>
      <c r="O17" s="915"/>
      <c r="P17" s="915"/>
      <c r="Q17" s="915"/>
      <c r="R17" s="961"/>
      <c r="S17" s="913"/>
      <c r="T17" s="405"/>
      <c r="U17" s="405"/>
      <c r="V17" s="405"/>
      <c r="W17" s="405"/>
      <c r="X17" s="365"/>
      <c r="Y17" s="365"/>
      <c r="Z17" s="365"/>
      <c r="AA17" s="365"/>
      <c r="AB17" s="365"/>
      <c r="AC17" s="365"/>
      <c r="AD17" s="365"/>
      <c r="AE17" s="365"/>
      <c r="AF17" s="365"/>
      <c r="AG17" s="365"/>
      <c r="AH17" s="365"/>
      <c r="AI17" s="365"/>
      <c r="AJ17" s="915"/>
      <c r="AK17" s="968" t="s">
        <v>78</v>
      </c>
      <c r="AL17" s="2863" t="s">
        <v>77</v>
      </c>
      <c r="AM17" s="2862" t="s">
        <v>79</v>
      </c>
      <c r="AN17" s="915"/>
      <c r="AO17" s="915"/>
      <c r="AP17" s="915"/>
    </row>
    <row r="18" spans="1:42" ht="16.5" customHeight="1">
      <c r="A18" s="969"/>
      <c r="B18" s="969"/>
      <c r="C18" s="969"/>
      <c r="D18" s="969"/>
      <c r="E18" s="969"/>
      <c r="F18" s="969"/>
      <c r="G18" s="969"/>
      <c r="H18" s="969"/>
      <c r="I18" s="3483"/>
      <c r="J18" s="3483"/>
      <c r="K18" s="3483"/>
      <c r="L18" s="3483"/>
      <c r="M18" s="915"/>
      <c r="N18" s="915"/>
      <c r="O18" s="5507" t="s">
        <v>52</v>
      </c>
      <c r="P18" s="5507"/>
      <c r="Q18" s="970">
        <v>3.15</v>
      </c>
      <c r="R18" s="404" t="s">
        <v>40</v>
      </c>
      <c r="S18" s="913"/>
      <c r="T18" s="365"/>
      <c r="U18" s="365"/>
      <c r="V18" s="365"/>
      <c r="W18" s="365"/>
      <c r="X18" s="365"/>
      <c r="Y18" s="365"/>
      <c r="Z18" s="365"/>
      <c r="AA18" s="365"/>
      <c r="AB18" s="365"/>
      <c r="AC18" s="365"/>
      <c r="AD18" s="365"/>
      <c r="AE18" s="365"/>
      <c r="AF18" s="365"/>
      <c r="AG18" s="365"/>
      <c r="AH18" s="365"/>
      <c r="AI18" s="365"/>
      <c r="AJ18" s="915"/>
      <c r="AK18" s="940">
        <v>1</v>
      </c>
      <c r="AL18" s="971">
        <f>AK18*(5/6)</f>
        <v>0.83333333333333337</v>
      </c>
      <c r="AM18" s="3214">
        <f>3.7854*AK18/8</f>
        <v>0.47317500000000001</v>
      </c>
      <c r="AN18" s="915"/>
      <c r="AO18" s="915"/>
      <c r="AP18" s="915"/>
    </row>
    <row r="19" spans="1:42" ht="16.5" customHeight="1">
      <c r="A19" s="3916" t="s">
        <v>775</v>
      </c>
      <c r="B19" s="3916"/>
      <c r="C19" s="3916"/>
      <c r="D19" s="3916"/>
      <c r="E19" s="3916"/>
      <c r="F19" s="3916"/>
      <c r="G19" s="3916"/>
      <c r="H19" s="3916"/>
      <c r="I19" s="3483"/>
      <c r="J19" s="3483"/>
      <c r="K19" s="3483"/>
      <c r="L19" s="3483"/>
      <c r="M19" s="3483"/>
      <c r="N19" s="3483"/>
      <c r="O19" s="972" t="s">
        <v>61</v>
      </c>
      <c r="P19" s="972" t="s">
        <v>62</v>
      </c>
      <c r="Q19" s="973" t="s">
        <v>63</v>
      </c>
      <c r="R19" s="961"/>
      <c r="S19" s="913"/>
      <c r="T19" s="364"/>
      <c r="U19" s="364"/>
      <c r="V19" s="364"/>
      <c r="W19" s="364"/>
      <c r="X19" s="364"/>
      <c r="Y19" s="364"/>
      <c r="Z19" s="365"/>
      <c r="AA19" s="365"/>
      <c r="AB19" s="365"/>
      <c r="AC19" s="365"/>
      <c r="AD19" s="365"/>
      <c r="AE19" s="365"/>
      <c r="AF19" s="365"/>
      <c r="AG19" s="365"/>
      <c r="AH19" s="365"/>
      <c r="AI19" s="365"/>
      <c r="AJ19" s="915"/>
      <c r="AK19" s="940">
        <v>2</v>
      </c>
      <c r="AL19" s="971">
        <f t="shared" ref="AL19:AL24" si="2">AK19*(5/6)</f>
        <v>1.6666666666666667</v>
      </c>
      <c r="AM19" s="3214">
        <f t="shared" ref="AM19:AM24" si="3">3.7854*AK19/8</f>
        <v>0.94635000000000002</v>
      </c>
      <c r="AN19" s="915"/>
      <c r="AO19" s="915"/>
      <c r="AP19" s="915"/>
    </row>
    <row r="20" spans="1:42" ht="16.5" customHeight="1">
      <c r="A20" s="5528" t="s">
        <v>65</v>
      </c>
      <c r="B20" s="5528"/>
      <c r="C20" s="5528"/>
      <c r="D20" s="5528"/>
      <c r="E20" s="5528"/>
      <c r="F20" s="5528"/>
      <c r="G20" s="5528"/>
      <c r="H20" s="5528"/>
      <c r="I20" s="5528"/>
      <c r="J20" s="5528"/>
      <c r="K20" s="5528"/>
      <c r="L20" s="3483"/>
      <c r="M20" s="3483"/>
      <c r="N20" s="3483"/>
      <c r="O20" s="972">
        <f>P20*Q18</f>
        <v>3.15</v>
      </c>
      <c r="P20" s="974">
        <v>1</v>
      </c>
      <c r="Q20" s="975">
        <f>P20/Q18</f>
        <v>0.31746031746031744</v>
      </c>
      <c r="R20" s="3487"/>
      <c r="S20" s="364"/>
      <c r="T20" s="364"/>
      <c r="U20" s="364"/>
      <c r="V20" s="364"/>
      <c r="W20" s="364"/>
      <c r="X20" s="364"/>
      <c r="Y20" s="364"/>
      <c r="Z20" s="365"/>
      <c r="AA20" s="365"/>
      <c r="AB20" s="365"/>
      <c r="AC20" s="365"/>
      <c r="AD20" s="365"/>
      <c r="AE20" s="365"/>
      <c r="AF20" s="365"/>
      <c r="AG20" s="365"/>
      <c r="AH20" s="365"/>
      <c r="AI20" s="365"/>
      <c r="AJ20" s="915"/>
      <c r="AK20" s="940">
        <v>23</v>
      </c>
      <c r="AL20" s="971">
        <f t="shared" si="2"/>
        <v>19.166666666666668</v>
      </c>
      <c r="AM20" s="3214">
        <f t="shared" si="3"/>
        <v>10.883025</v>
      </c>
      <c r="AN20" s="915"/>
      <c r="AO20" s="915"/>
      <c r="AP20" s="915"/>
    </row>
    <row r="21" spans="1:42" ht="16.5" customHeight="1">
      <c r="A21" s="976"/>
      <c r="B21" s="976"/>
      <c r="C21" s="976"/>
      <c r="D21" s="976"/>
      <c r="E21" s="976"/>
      <c r="F21" s="976"/>
      <c r="G21" s="976"/>
      <c r="H21" s="976"/>
      <c r="I21" s="976"/>
      <c r="J21" s="976"/>
      <c r="K21" s="976"/>
      <c r="L21" s="977"/>
      <c r="M21" s="977"/>
      <c r="N21" s="3487"/>
      <c r="O21" s="3487"/>
      <c r="P21" s="3487"/>
      <c r="Q21" s="3487"/>
      <c r="R21" s="3487"/>
      <c r="S21" s="364"/>
      <c r="T21" s="364"/>
      <c r="U21" s="364"/>
      <c r="V21" s="364"/>
      <c r="W21" s="364"/>
      <c r="X21" s="364"/>
      <c r="Y21" s="364"/>
      <c r="Z21" s="365"/>
      <c r="AA21" s="365"/>
      <c r="AB21" s="365"/>
      <c r="AC21" s="365"/>
      <c r="AD21" s="365"/>
      <c r="AE21" s="365"/>
      <c r="AF21" s="365"/>
      <c r="AG21" s="365"/>
      <c r="AH21" s="365"/>
      <c r="AI21" s="365"/>
      <c r="AJ21" s="915"/>
      <c r="AK21" s="940">
        <v>25</v>
      </c>
      <c r="AL21" s="971">
        <f t="shared" si="2"/>
        <v>20.833333333333336</v>
      </c>
      <c r="AM21" s="3214">
        <f t="shared" si="3"/>
        <v>11.829375000000001</v>
      </c>
      <c r="AN21" s="915"/>
      <c r="AO21" s="915"/>
      <c r="AP21" s="915"/>
    </row>
    <row r="22" spans="1:42" ht="16.5" customHeight="1">
      <c r="A22" s="978" t="s">
        <v>776</v>
      </c>
      <c r="B22" s="979"/>
      <c r="C22" s="979"/>
      <c r="D22" s="979"/>
      <c r="E22" s="979"/>
      <c r="F22" s="979"/>
      <c r="G22" s="5579"/>
      <c r="H22" s="5580"/>
      <c r="I22" s="5585" t="s">
        <v>777</v>
      </c>
      <c r="J22" s="5585"/>
      <c r="K22" s="5585"/>
      <c r="L22" s="5585"/>
      <c r="M22" s="5585"/>
      <c r="N22" s="5586"/>
      <c r="O22" s="5587" t="s">
        <v>159</v>
      </c>
      <c r="P22" s="5588"/>
      <c r="Q22" s="5589"/>
      <c r="R22" s="980"/>
      <c r="S22" s="388"/>
      <c r="T22" s="388"/>
      <c r="U22" s="388"/>
      <c r="V22" s="388"/>
      <c r="W22" s="394"/>
      <c r="X22" s="388"/>
      <c r="Y22" s="388"/>
      <c r="Z22" s="981"/>
      <c r="AA22" s="386"/>
      <c r="AB22" s="386"/>
      <c r="AC22" s="386"/>
      <c r="AD22" s="386"/>
      <c r="AE22" s="386"/>
      <c r="AF22" s="386"/>
      <c r="AG22" s="386"/>
      <c r="AH22" s="981"/>
      <c r="AI22" s="981"/>
      <c r="AJ22" s="915"/>
      <c r="AK22" s="940">
        <v>26</v>
      </c>
      <c r="AL22" s="971">
        <f t="shared" si="2"/>
        <v>21.666666666666668</v>
      </c>
      <c r="AM22" s="3214">
        <f t="shared" si="3"/>
        <v>12.30255</v>
      </c>
      <c r="AN22" s="915"/>
      <c r="AO22" s="915"/>
      <c r="AP22" s="915"/>
    </row>
    <row r="23" spans="1:42" ht="16.5" customHeight="1">
      <c r="A23" s="5535" t="s">
        <v>778</v>
      </c>
      <c r="B23" s="5535"/>
      <c r="C23" s="2393" t="s">
        <v>72</v>
      </c>
      <c r="D23" s="982" t="s">
        <v>73</v>
      </c>
      <c r="E23" s="2401" t="s">
        <v>74</v>
      </c>
      <c r="F23" s="2402" t="s">
        <v>75</v>
      </c>
      <c r="G23" s="5581"/>
      <c r="H23" s="5582"/>
      <c r="I23" s="5536" t="s">
        <v>779</v>
      </c>
      <c r="J23" s="4529"/>
      <c r="K23" s="4529"/>
      <c r="L23" s="4529"/>
      <c r="M23" s="4529"/>
      <c r="N23" s="4529"/>
      <c r="O23" s="5522" t="s">
        <v>780</v>
      </c>
      <c r="P23" s="5523"/>
      <c r="Q23" s="5524"/>
      <c r="R23" s="983"/>
      <c r="S23" s="386" t="s">
        <v>48</v>
      </c>
      <c r="T23" s="387"/>
      <c r="U23" s="386" t="s">
        <v>50</v>
      </c>
      <c r="V23" s="387"/>
      <c r="W23" s="394"/>
      <c r="X23" s="388" t="s">
        <v>51</v>
      </c>
      <c r="Y23" s="395"/>
      <c r="Z23" s="57"/>
      <c r="AA23" s="981"/>
      <c r="AB23" s="981"/>
      <c r="AC23" s="981"/>
      <c r="AD23" s="981"/>
      <c r="AE23" s="981"/>
      <c r="AF23" s="981"/>
      <c r="AG23" s="981"/>
      <c r="AH23" s="358"/>
      <c r="AI23" s="358"/>
      <c r="AJ23" s="915"/>
      <c r="AK23" s="940">
        <v>27</v>
      </c>
      <c r="AL23" s="971">
        <f t="shared" si="2"/>
        <v>22.5</v>
      </c>
      <c r="AM23" s="3214">
        <f t="shared" si="3"/>
        <v>12.775725</v>
      </c>
      <c r="AN23" s="915"/>
      <c r="AO23" s="915"/>
      <c r="AP23" s="915"/>
    </row>
    <row r="24" spans="1:42" ht="16.5" customHeight="1">
      <c r="A24" s="984"/>
      <c r="B24" s="3376" t="str">
        <f t="shared" ref="B24:B32" si="4">B110</f>
        <v>White Sorghum Syrup</v>
      </c>
      <c r="C24" s="2394">
        <v>1500</v>
      </c>
      <c r="D24" s="40" t="s">
        <v>40</v>
      </c>
      <c r="E24" s="2403">
        <f t="shared" ref="E24:E32" si="5">100*IF(C24=0,0,C24/$E$48)</f>
        <v>64.586966350190536</v>
      </c>
      <c r="F24" s="2403">
        <f t="shared" ref="F24:F32" si="6">IF(W24=0,0,W24*100/$W$44)</f>
        <v>57.44003725840254</v>
      </c>
      <c r="G24" s="5583"/>
      <c r="H24" s="5584"/>
      <c r="I24" s="4534" t="s">
        <v>81</v>
      </c>
      <c r="J24" s="4712"/>
      <c r="K24" s="4713"/>
      <c r="L24" s="4535" t="s">
        <v>82</v>
      </c>
      <c r="M24" s="4714"/>
      <c r="N24" s="4715"/>
      <c r="O24" s="5525"/>
      <c r="P24" s="5526"/>
      <c r="Q24" s="5527"/>
      <c r="R24" s="983"/>
      <c r="S24" s="414">
        <f t="shared" ref="S24:S32" si="7">C110</f>
        <v>277.5</v>
      </c>
      <c r="T24" s="387"/>
      <c r="U24" s="388">
        <f>E110</f>
        <v>6.5</v>
      </c>
      <c r="V24" s="387"/>
      <c r="W24" s="394">
        <f>0.001*C24*S24</f>
        <v>416.25</v>
      </c>
      <c r="X24" s="394">
        <f>W24*D110/100</f>
        <v>308.02499999999998</v>
      </c>
      <c r="Y24" s="388">
        <f t="shared" ref="Y24" si="8">0.01*C24*U24</f>
        <v>97.5</v>
      </c>
      <c r="Z24" s="57"/>
      <c r="AA24" s="388"/>
      <c r="AB24" s="386"/>
      <c r="AC24" s="386"/>
      <c r="AD24" s="386"/>
      <c r="AE24" s="386"/>
      <c r="AF24" s="386"/>
      <c r="AG24" s="4448" t="s">
        <v>83</v>
      </c>
      <c r="AH24" s="4448"/>
      <c r="AI24" s="4448"/>
      <c r="AJ24" s="915"/>
      <c r="AK24" s="940">
        <v>28</v>
      </c>
      <c r="AL24" s="971">
        <f t="shared" si="2"/>
        <v>23.333333333333336</v>
      </c>
      <c r="AM24" s="3214">
        <f t="shared" si="3"/>
        <v>13.248900000000001</v>
      </c>
      <c r="AN24" s="915"/>
      <c r="AO24" s="915"/>
      <c r="AP24" s="915"/>
    </row>
    <row r="25" spans="1:42" ht="16.5" customHeight="1">
      <c r="A25" s="984"/>
      <c r="B25" s="3376" t="str">
        <f t="shared" si="4"/>
        <v>Clarified Brown Rice Syrup</v>
      </c>
      <c r="C25" s="2395"/>
      <c r="D25" s="40" t="s">
        <v>40</v>
      </c>
      <c r="E25" s="2403">
        <f t="shared" si="5"/>
        <v>0</v>
      </c>
      <c r="F25" s="2403">
        <f t="shared" si="6"/>
        <v>0</v>
      </c>
      <c r="G25" s="3077" t="s">
        <v>84</v>
      </c>
      <c r="H25" s="3078" t="s">
        <v>696</v>
      </c>
      <c r="I25" s="3079" t="s">
        <v>86</v>
      </c>
      <c r="J25" s="3080" t="s">
        <v>87</v>
      </c>
      <c r="K25" s="3078" t="s">
        <v>88</v>
      </c>
      <c r="L25" s="3081" t="s">
        <v>86</v>
      </c>
      <c r="M25" s="3080" t="s">
        <v>87</v>
      </c>
      <c r="N25" s="3078" t="s">
        <v>88</v>
      </c>
      <c r="O25" s="3082" t="s">
        <v>86</v>
      </c>
      <c r="P25" s="3080" t="s">
        <v>87</v>
      </c>
      <c r="Q25" s="3078" t="s">
        <v>88</v>
      </c>
      <c r="R25" s="2410"/>
      <c r="S25" s="414">
        <f t="shared" si="7"/>
        <v>262.5</v>
      </c>
      <c r="T25" s="387"/>
      <c r="U25" s="388">
        <f t="shared" ref="U25:U32" si="9">E111</f>
        <v>4</v>
      </c>
      <c r="V25" s="387"/>
      <c r="W25" s="394">
        <f t="shared" ref="W25:W32" si="10">0.001*C25*S25</f>
        <v>0</v>
      </c>
      <c r="X25" s="394">
        <f t="shared" ref="X25:X32" si="11">W25*D111/100</f>
        <v>0</v>
      </c>
      <c r="Y25" s="388">
        <f t="shared" ref="Y25:Y32" si="12">0.01*C25*U25</f>
        <v>0</v>
      </c>
      <c r="Z25" s="538"/>
      <c r="AA25" s="5601" t="s">
        <v>90</v>
      </c>
      <c r="AB25" s="5601"/>
      <c r="AC25" s="5601"/>
      <c r="AD25" s="4449" t="s">
        <v>91</v>
      </c>
      <c r="AE25" s="4449"/>
      <c r="AF25" s="4449"/>
      <c r="AG25" s="4448" t="s">
        <v>92</v>
      </c>
      <c r="AH25" s="4448"/>
      <c r="AI25" s="4448"/>
      <c r="AJ25" s="915"/>
      <c r="AK25" s="2866"/>
      <c r="AL25" s="2866"/>
      <c r="AM25" s="3215"/>
      <c r="AN25" s="915"/>
      <c r="AO25" s="915"/>
      <c r="AP25" s="915"/>
    </row>
    <row r="26" spans="1:42" ht="16.5" customHeight="1">
      <c r="A26" s="984"/>
      <c r="B26" s="3376" t="str">
        <f t="shared" si="4"/>
        <v>Corn Syrup (10% max.)</v>
      </c>
      <c r="C26" s="2395"/>
      <c r="D26" s="40" t="s">
        <v>40</v>
      </c>
      <c r="E26" s="2403">
        <f t="shared" si="5"/>
        <v>0</v>
      </c>
      <c r="F26" s="2404">
        <f t="shared" si="6"/>
        <v>0</v>
      </c>
      <c r="G26" s="986"/>
      <c r="H26" s="2411" t="s">
        <v>101</v>
      </c>
      <c r="I26" s="2412" t="s">
        <v>76</v>
      </c>
      <c r="J26" s="2413" t="s">
        <v>76</v>
      </c>
      <c r="K26" s="2414" t="s">
        <v>76</v>
      </c>
      <c r="L26" s="2415" t="s">
        <v>76</v>
      </c>
      <c r="M26" s="2413" t="s">
        <v>76</v>
      </c>
      <c r="N26" s="2414" t="s">
        <v>76</v>
      </c>
      <c r="O26" s="2416" t="s">
        <v>76</v>
      </c>
      <c r="P26" s="2413" t="s">
        <v>76</v>
      </c>
      <c r="Q26" s="2414" t="s">
        <v>76</v>
      </c>
      <c r="R26" s="2410"/>
      <c r="S26" s="414">
        <f t="shared" si="7"/>
        <v>293.625</v>
      </c>
      <c r="T26" s="765"/>
      <c r="U26" s="388">
        <f t="shared" si="9"/>
        <v>2</v>
      </c>
      <c r="V26" s="387"/>
      <c r="W26" s="394">
        <f t="shared" si="10"/>
        <v>0</v>
      </c>
      <c r="X26" s="394">
        <f t="shared" si="11"/>
        <v>0</v>
      </c>
      <c r="Y26" s="388">
        <f t="shared" si="12"/>
        <v>0</v>
      </c>
      <c r="Z26" s="538"/>
      <c r="AA26" s="987" t="s">
        <v>86</v>
      </c>
      <c r="AB26" s="26" t="s">
        <v>87</v>
      </c>
      <c r="AC26" s="26" t="s">
        <v>88</v>
      </c>
      <c r="AD26" s="987" t="s">
        <v>86</v>
      </c>
      <c r="AE26" s="26" t="s">
        <v>87</v>
      </c>
      <c r="AF26" s="26" t="s">
        <v>88</v>
      </c>
      <c r="AG26" s="987" t="s">
        <v>86</v>
      </c>
      <c r="AH26" s="26" t="s">
        <v>87</v>
      </c>
      <c r="AI26" s="26" t="s">
        <v>88</v>
      </c>
      <c r="AJ26" s="915"/>
      <c r="AK26" s="968" t="s">
        <v>79</v>
      </c>
      <c r="AL26" s="2863" t="s">
        <v>77</v>
      </c>
      <c r="AM26" s="2862" t="s">
        <v>78</v>
      </c>
      <c r="AN26" s="915"/>
      <c r="AO26" s="915"/>
      <c r="AP26" s="915"/>
    </row>
    <row r="27" spans="1:42" ht="16.5" customHeight="1">
      <c r="A27" s="984"/>
      <c r="B27" s="3376" t="str">
        <f t="shared" si="4"/>
        <v>-</v>
      </c>
      <c r="C27" s="2395"/>
      <c r="D27" s="40" t="s">
        <v>40</v>
      </c>
      <c r="E27" s="2403">
        <f t="shared" si="5"/>
        <v>0</v>
      </c>
      <c r="F27" s="2403">
        <f t="shared" si="6"/>
        <v>0</v>
      </c>
      <c r="G27" s="988" t="s">
        <v>781</v>
      </c>
      <c r="H27" s="2417">
        <v>14.5</v>
      </c>
      <c r="I27" s="3083"/>
      <c r="J27" s="3084"/>
      <c r="K27" s="3085"/>
      <c r="L27" s="2505">
        <f>I27</f>
        <v>0</v>
      </c>
      <c r="M27" s="2506">
        <f>J27</f>
        <v>0</v>
      </c>
      <c r="N27" s="2507">
        <f>K27</f>
        <v>0</v>
      </c>
      <c r="O27" s="3086"/>
      <c r="P27" s="3087"/>
      <c r="Q27" s="3088"/>
      <c r="R27" s="2410"/>
      <c r="S27" s="414">
        <f t="shared" si="7"/>
        <v>0</v>
      </c>
      <c r="T27" s="765"/>
      <c r="U27" s="388">
        <f t="shared" si="9"/>
        <v>0</v>
      </c>
      <c r="V27" s="387"/>
      <c r="W27" s="394">
        <f t="shared" si="10"/>
        <v>0</v>
      </c>
      <c r="X27" s="394">
        <f t="shared" si="11"/>
        <v>0</v>
      </c>
      <c r="Y27" s="388">
        <f t="shared" si="12"/>
        <v>0</v>
      </c>
      <c r="Z27" s="538"/>
      <c r="AA27" s="989">
        <f t="shared" ref="AA27:AI27" si="13">$H27*I27</f>
        <v>0</v>
      </c>
      <c r="AB27" s="388">
        <f t="shared" si="13"/>
        <v>0</v>
      </c>
      <c r="AC27" s="388">
        <f t="shared" si="13"/>
        <v>0</v>
      </c>
      <c r="AD27" s="989">
        <f t="shared" si="13"/>
        <v>0</v>
      </c>
      <c r="AE27" s="388">
        <f t="shared" si="13"/>
        <v>0</v>
      </c>
      <c r="AF27" s="388">
        <f t="shared" si="13"/>
        <v>0</v>
      </c>
      <c r="AG27" s="989">
        <f t="shared" si="13"/>
        <v>0</v>
      </c>
      <c r="AH27" s="388">
        <f t="shared" si="13"/>
        <v>0</v>
      </c>
      <c r="AI27" s="388">
        <f t="shared" si="13"/>
        <v>0</v>
      </c>
      <c r="AJ27" s="915"/>
      <c r="AK27" s="940">
        <v>1</v>
      </c>
      <c r="AL27" s="971">
        <f t="shared" ref="AL27:AL33" si="14">AM27*(5/6)</f>
        <v>1.7611524981948188</v>
      </c>
      <c r="AM27" s="3216">
        <f>8*AK27/3.7854</f>
        <v>2.1133829978337824</v>
      </c>
      <c r="AN27" s="915"/>
      <c r="AO27" s="915"/>
      <c r="AP27" s="915"/>
    </row>
    <row r="28" spans="1:42" ht="16.5" customHeight="1">
      <c r="A28" s="984"/>
      <c r="B28" s="3376" t="str">
        <f t="shared" si="4"/>
        <v>-</v>
      </c>
      <c r="C28" s="2396"/>
      <c r="D28" s="40" t="s">
        <v>40</v>
      </c>
      <c r="E28" s="2403">
        <f t="shared" si="5"/>
        <v>0</v>
      </c>
      <c r="F28" s="2403">
        <f t="shared" si="6"/>
        <v>0</v>
      </c>
      <c r="G28" s="3089" t="s">
        <v>782</v>
      </c>
      <c r="H28" s="2418">
        <v>6.2</v>
      </c>
      <c r="I28" s="3021"/>
      <c r="J28" s="2116"/>
      <c r="K28" s="2117"/>
      <c r="L28" s="3022">
        <f t="shared" ref="L28:N43" si="15">I28</f>
        <v>0</v>
      </c>
      <c r="M28" s="2125">
        <f>J28</f>
        <v>0</v>
      </c>
      <c r="N28" s="2508">
        <f>K28</f>
        <v>0</v>
      </c>
      <c r="O28" s="3023"/>
      <c r="P28" s="2127"/>
      <c r="Q28" s="2509"/>
      <c r="R28" s="2410"/>
      <c r="S28" s="414">
        <f t="shared" si="7"/>
        <v>0</v>
      </c>
      <c r="T28" s="765"/>
      <c r="U28" s="388">
        <f t="shared" si="9"/>
        <v>0</v>
      </c>
      <c r="V28" s="387"/>
      <c r="W28" s="394">
        <f t="shared" si="10"/>
        <v>0</v>
      </c>
      <c r="X28" s="394">
        <f t="shared" si="11"/>
        <v>0</v>
      </c>
      <c r="Y28" s="388">
        <f t="shared" si="12"/>
        <v>0</v>
      </c>
      <c r="Z28" s="538"/>
      <c r="AA28" s="989">
        <f t="shared" ref="AA28:AA46" si="16">$H28*I28</f>
        <v>0</v>
      </c>
      <c r="AB28" s="388">
        <f t="shared" ref="AB28:AB46" si="17">$H28*J28</f>
        <v>0</v>
      </c>
      <c r="AC28" s="388">
        <f t="shared" ref="AC28:AC46" si="18">$H28*K28</f>
        <v>0</v>
      </c>
      <c r="AD28" s="989">
        <f t="shared" ref="AD28:AD46" si="19">$H28*L28</f>
        <v>0</v>
      </c>
      <c r="AE28" s="388">
        <f t="shared" ref="AE28:AE46" si="20">$H28*M28</f>
        <v>0</v>
      </c>
      <c r="AF28" s="388">
        <f t="shared" ref="AF28:AF46" si="21">$H28*N28</f>
        <v>0</v>
      </c>
      <c r="AG28" s="989">
        <f t="shared" ref="AG28:AG46" si="22">$H28*O28</f>
        <v>0</v>
      </c>
      <c r="AH28" s="388">
        <f t="shared" ref="AH28:AH46" si="23">$H28*P28</f>
        <v>0</v>
      </c>
      <c r="AI28" s="388">
        <f t="shared" ref="AI28:AI46" si="24">$H28*Q28</f>
        <v>0</v>
      </c>
      <c r="AJ28" s="915"/>
      <c r="AK28" s="940">
        <v>2</v>
      </c>
      <c r="AL28" s="971">
        <f t="shared" si="14"/>
        <v>3.5223049963896376</v>
      </c>
      <c r="AM28" s="3216">
        <f t="shared" ref="AM28:AM33" si="25">8*AK28/3.7854</f>
        <v>4.2267659956675647</v>
      </c>
      <c r="AN28" s="915"/>
      <c r="AO28" s="915"/>
      <c r="AP28" s="915"/>
    </row>
    <row r="29" spans="1:42" ht="16.5" customHeight="1">
      <c r="A29" s="984"/>
      <c r="B29" s="3376" t="str">
        <f t="shared" si="4"/>
        <v>-</v>
      </c>
      <c r="C29" s="2396"/>
      <c r="D29" s="40" t="s">
        <v>40</v>
      </c>
      <c r="E29" s="2403">
        <f t="shared" si="5"/>
        <v>0</v>
      </c>
      <c r="F29" s="2403">
        <f t="shared" si="6"/>
        <v>0</v>
      </c>
      <c r="G29" s="3089" t="s">
        <v>102</v>
      </c>
      <c r="H29" s="2418">
        <v>8</v>
      </c>
      <c r="I29" s="3021"/>
      <c r="J29" s="2116"/>
      <c r="K29" s="2117"/>
      <c r="L29" s="3022">
        <f t="shared" si="15"/>
        <v>0</v>
      </c>
      <c r="M29" s="2125">
        <f t="shared" si="15"/>
        <v>0</v>
      </c>
      <c r="N29" s="2508">
        <f t="shared" si="15"/>
        <v>0</v>
      </c>
      <c r="O29" s="3023"/>
      <c r="P29" s="2127"/>
      <c r="Q29" s="2509"/>
      <c r="R29" s="2410"/>
      <c r="S29" s="414">
        <f t="shared" si="7"/>
        <v>0</v>
      </c>
      <c r="T29" s="765"/>
      <c r="U29" s="388">
        <f t="shared" si="9"/>
        <v>0</v>
      </c>
      <c r="V29" s="387"/>
      <c r="W29" s="394">
        <f t="shared" si="10"/>
        <v>0</v>
      </c>
      <c r="X29" s="394">
        <f t="shared" si="11"/>
        <v>0</v>
      </c>
      <c r="Y29" s="388">
        <f t="shared" si="12"/>
        <v>0</v>
      </c>
      <c r="Z29" s="538"/>
      <c r="AA29" s="989">
        <f t="shared" si="16"/>
        <v>0</v>
      </c>
      <c r="AB29" s="388">
        <f t="shared" si="17"/>
        <v>0</v>
      </c>
      <c r="AC29" s="388">
        <f t="shared" si="18"/>
        <v>0</v>
      </c>
      <c r="AD29" s="989">
        <f t="shared" si="19"/>
        <v>0</v>
      </c>
      <c r="AE29" s="388">
        <f t="shared" si="20"/>
        <v>0</v>
      </c>
      <c r="AF29" s="388">
        <f t="shared" si="21"/>
        <v>0</v>
      </c>
      <c r="AG29" s="989">
        <f t="shared" si="22"/>
        <v>0</v>
      </c>
      <c r="AH29" s="388">
        <f t="shared" si="23"/>
        <v>0</v>
      </c>
      <c r="AI29" s="388">
        <f t="shared" si="24"/>
        <v>0</v>
      </c>
      <c r="AJ29" s="915"/>
      <c r="AK29" s="940">
        <v>2.5</v>
      </c>
      <c r="AL29" s="971">
        <f t="shared" si="14"/>
        <v>4.4028812454870474</v>
      </c>
      <c r="AM29" s="3216">
        <f t="shared" si="25"/>
        <v>5.2834574945844563</v>
      </c>
      <c r="AN29" s="915"/>
      <c r="AO29" s="915"/>
      <c r="AP29" s="915"/>
    </row>
    <row r="30" spans="1:42" ht="16.5" customHeight="1">
      <c r="A30" s="990"/>
      <c r="B30" s="3376" t="str">
        <f t="shared" si="4"/>
        <v>-</v>
      </c>
      <c r="C30" s="2396"/>
      <c r="D30" s="40" t="s">
        <v>40</v>
      </c>
      <c r="E30" s="2403">
        <f t="shared" si="5"/>
        <v>0</v>
      </c>
      <c r="F30" s="2403">
        <f t="shared" si="6"/>
        <v>0</v>
      </c>
      <c r="G30" s="3089" t="s">
        <v>147</v>
      </c>
      <c r="H30" s="2418">
        <v>7.6</v>
      </c>
      <c r="I30" s="3021"/>
      <c r="J30" s="2116"/>
      <c r="K30" s="2117"/>
      <c r="L30" s="3022">
        <f t="shared" si="15"/>
        <v>0</v>
      </c>
      <c r="M30" s="2125">
        <f t="shared" si="15"/>
        <v>0</v>
      </c>
      <c r="N30" s="2508">
        <f t="shared" si="15"/>
        <v>0</v>
      </c>
      <c r="O30" s="3023"/>
      <c r="P30" s="2127"/>
      <c r="Q30" s="2509"/>
      <c r="R30" s="2410"/>
      <c r="S30" s="414">
        <f t="shared" si="7"/>
        <v>0</v>
      </c>
      <c r="T30" s="765"/>
      <c r="U30" s="388">
        <f t="shared" si="9"/>
        <v>0</v>
      </c>
      <c r="V30" s="387"/>
      <c r="W30" s="394">
        <f t="shared" si="10"/>
        <v>0</v>
      </c>
      <c r="X30" s="394">
        <f t="shared" si="11"/>
        <v>0</v>
      </c>
      <c r="Y30" s="388">
        <f t="shared" si="12"/>
        <v>0</v>
      </c>
      <c r="Z30" s="538"/>
      <c r="AA30" s="989">
        <f t="shared" si="16"/>
        <v>0</v>
      </c>
      <c r="AB30" s="388">
        <f t="shared" si="17"/>
        <v>0</v>
      </c>
      <c r="AC30" s="388">
        <f t="shared" si="18"/>
        <v>0</v>
      </c>
      <c r="AD30" s="989">
        <f t="shared" si="19"/>
        <v>0</v>
      </c>
      <c r="AE30" s="388">
        <f t="shared" si="20"/>
        <v>0</v>
      </c>
      <c r="AF30" s="388">
        <f t="shared" si="21"/>
        <v>0</v>
      </c>
      <c r="AG30" s="989">
        <f t="shared" si="22"/>
        <v>0</v>
      </c>
      <c r="AH30" s="388">
        <f t="shared" si="23"/>
        <v>0</v>
      </c>
      <c r="AI30" s="388">
        <f t="shared" si="24"/>
        <v>0</v>
      </c>
      <c r="AJ30" s="915"/>
      <c r="AK30" s="940">
        <v>3.5</v>
      </c>
      <c r="AL30" s="971">
        <f t="shared" si="14"/>
        <v>6.1640337436818662</v>
      </c>
      <c r="AM30" s="3216">
        <f t="shared" si="25"/>
        <v>7.3968404924182387</v>
      </c>
      <c r="AN30" s="915"/>
      <c r="AO30" s="915"/>
      <c r="AP30" s="915"/>
    </row>
    <row r="31" spans="1:42" ht="16.5" customHeight="1">
      <c r="A31" s="990"/>
      <c r="B31" s="3376" t="str">
        <f t="shared" si="4"/>
        <v>-</v>
      </c>
      <c r="C31" s="2396"/>
      <c r="D31" s="40" t="s">
        <v>40</v>
      </c>
      <c r="E31" s="2403">
        <f t="shared" si="5"/>
        <v>0</v>
      </c>
      <c r="F31" s="2403">
        <f t="shared" si="6"/>
        <v>0</v>
      </c>
      <c r="G31" s="3089" t="s">
        <v>104</v>
      </c>
      <c r="H31" s="2418">
        <v>7.5</v>
      </c>
      <c r="I31" s="3021"/>
      <c r="J31" s="2116"/>
      <c r="K31" s="2117"/>
      <c r="L31" s="3022">
        <f t="shared" si="15"/>
        <v>0</v>
      </c>
      <c r="M31" s="2125">
        <f t="shared" si="15"/>
        <v>0</v>
      </c>
      <c r="N31" s="2508">
        <f t="shared" si="15"/>
        <v>0</v>
      </c>
      <c r="O31" s="3023"/>
      <c r="P31" s="2127"/>
      <c r="Q31" s="2509"/>
      <c r="R31" s="2410"/>
      <c r="S31" s="414">
        <f t="shared" si="7"/>
        <v>0</v>
      </c>
      <c r="T31" s="765"/>
      <c r="U31" s="388">
        <f t="shared" si="9"/>
        <v>0</v>
      </c>
      <c r="V31" s="387"/>
      <c r="W31" s="394">
        <f t="shared" si="10"/>
        <v>0</v>
      </c>
      <c r="X31" s="394">
        <f t="shared" si="11"/>
        <v>0</v>
      </c>
      <c r="Y31" s="388">
        <f t="shared" si="12"/>
        <v>0</v>
      </c>
      <c r="Z31" s="538"/>
      <c r="AA31" s="989">
        <f t="shared" si="16"/>
        <v>0</v>
      </c>
      <c r="AB31" s="388">
        <f t="shared" si="17"/>
        <v>0</v>
      </c>
      <c r="AC31" s="388">
        <f t="shared" si="18"/>
        <v>0</v>
      </c>
      <c r="AD31" s="989">
        <f t="shared" si="19"/>
        <v>0</v>
      </c>
      <c r="AE31" s="388">
        <f t="shared" si="20"/>
        <v>0</v>
      </c>
      <c r="AF31" s="388">
        <f t="shared" si="21"/>
        <v>0</v>
      </c>
      <c r="AG31" s="989">
        <f t="shared" si="22"/>
        <v>0</v>
      </c>
      <c r="AH31" s="388">
        <f t="shared" si="23"/>
        <v>0</v>
      </c>
      <c r="AI31" s="388">
        <f t="shared" si="24"/>
        <v>0</v>
      </c>
      <c r="AJ31" s="915"/>
      <c r="AK31" s="940">
        <v>4.5</v>
      </c>
      <c r="AL31" s="971">
        <f t="shared" si="14"/>
        <v>7.9251862418766841</v>
      </c>
      <c r="AM31" s="3216">
        <f t="shared" si="25"/>
        <v>9.5102234902520202</v>
      </c>
      <c r="AN31" s="915"/>
      <c r="AO31" s="915"/>
      <c r="AP31" s="915"/>
    </row>
    <row r="32" spans="1:42" ht="16.5" customHeight="1">
      <c r="A32" s="990"/>
      <c r="B32" s="3376" t="str">
        <f t="shared" si="4"/>
        <v>-</v>
      </c>
      <c r="C32" s="2396"/>
      <c r="D32" s="40" t="s">
        <v>40</v>
      </c>
      <c r="E32" s="2403">
        <f t="shared" si="5"/>
        <v>0</v>
      </c>
      <c r="F32" s="2403">
        <f t="shared" si="6"/>
        <v>0</v>
      </c>
      <c r="G32" s="3089" t="s">
        <v>106</v>
      </c>
      <c r="H32" s="2418">
        <v>5.5</v>
      </c>
      <c r="I32" s="3021"/>
      <c r="J32" s="2116"/>
      <c r="K32" s="2117"/>
      <c r="L32" s="3022">
        <f t="shared" si="15"/>
        <v>0</v>
      </c>
      <c r="M32" s="2125">
        <f t="shared" si="15"/>
        <v>0</v>
      </c>
      <c r="N32" s="2508">
        <f t="shared" si="15"/>
        <v>0</v>
      </c>
      <c r="O32" s="3023"/>
      <c r="P32" s="2127"/>
      <c r="Q32" s="2509"/>
      <c r="R32" s="2410"/>
      <c r="S32" s="414">
        <f t="shared" si="7"/>
        <v>0</v>
      </c>
      <c r="T32" s="765"/>
      <c r="U32" s="388">
        <f t="shared" si="9"/>
        <v>0</v>
      </c>
      <c r="V32" s="387"/>
      <c r="W32" s="394">
        <f t="shared" si="10"/>
        <v>0</v>
      </c>
      <c r="X32" s="394">
        <f t="shared" si="11"/>
        <v>0</v>
      </c>
      <c r="Y32" s="388">
        <f t="shared" si="12"/>
        <v>0</v>
      </c>
      <c r="Z32" s="538"/>
      <c r="AA32" s="989">
        <f t="shared" si="16"/>
        <v>0</v>
      </c>
      <c r="AB32" s="388">
        <f t="shared" si="17"/>
        <v>0</v>
      </c>
      <c r="AC32" s="388">
        <f t="shared" si="18"/>
        <v>0</v>
      </c>
      <c r="AD32" s="989">
        <f t="shared" si="19"/>
        <v>0</v>
      </c>
      <c r="AE32" s="388">
        <f t="shared" si="20"/>
        <v>0</v>
      </c>
      <c r="AF32" s="388">
        <f t="shared" si="21"/>
        <v>0</v>
      </c>
      <c r="AG32" s="989">
        <f t="shared" si="22"/>
        <v>0</v>
      </c>
      <c r="AH32" s="388">
        <f t="shared" si="23"/>
        <v>0</v>
      </c>
      <c r="AI32" s="388">
        <f t="shared" si="24"/>
        <v>0</v>
      </c>
      <c r="AJ32" s="915"/>
      <c r="AK32" s="940">
        <v>23</v>
      </c>
      <c r="AL32" s="971">
        <f t="shared" si="14"/>
        <v>40.506507458480833</v>
      </c>
      <c r="AM32" s="3216">
        <f t="shared" si="25"/>
        <v>48.607808950176995</v>
      </c>
      <c r="AN32" s="915"/>
      <c r="AO32" s="915"/>
      <c r="AP32" s="915"/>
    </row>
    <row r="33" spans="1:42" ht="16.5" customHeight="1">
      <c r="A33" s="991"/>
      <c r="B33" s="992"/>
      <c r="C33" s="2397"/>
      <c r="D33" s="992"/>
      <c r="E33" s="2405"/>
      <c r="F33" s="2406"/>
      <c r="G33" s="3089" t="s">
        <v>425</v>
      </c>
      <c r="H33" s="2418">
        <v>7.5</v>
      </c>
      <c r="I33" s="3021"/>
      <c r="J33" s="2116"/>
      <c r="K33" s="2117"/>
      <c r="L33" s="3022">
        <f t="shared" si="15"/>
        <v>0</v>
      </c>
      <c r="M33" s="2125">
        <f t="shared" si="15"/>
        <v>0</v>
      </c>
      <c r="N33" s="2508">
        <f t="shared" si="15"/>
        <v>0</v>
      </c>
      <c r="O33" s="3023"/>
      <c r="P33" s="2127"/>
      <c r="Q33" s="2509"/>
      <c r="R33" s="2410"/>
      <c r="S33" s="358"/>
      <c r="T33" s="358"/>
      <c r="U33" s="358"/>
      <c r="V33" s="358"/>
      <c r="W33" s="358"/>
      <c r="X33" s="358"/>
      <c r="Y33" s="358"/>
      <c r="Z33" s="358"/>
      <c r="AA33" s="989">
        <f t="shared" si="16"/>
        <v>0</v>
      </c>
      <c r="AB33" s="388">
        <f t="shared" si="17"/>
        <v>0</v>
      </c>
      <c r="AC33" s="388">
        <f t="shared" si="18"/>
        <v>0</v>
      </c>
      <c r="AD33" s="989">
        <f t="shared" si="19"/>
        <v>0</v>
      </c>
      <c r="AE33" s="388">
        <f t="shared" si="20"/>
        <v>0</v>
      </c>
      <c r="AF33" s="388">
        <f t="shared" si="21"/>
        <v>0</v>
      </c>
      <c r="AG33" s="989">
        <f t="shared" si="22"/>
        <v>0</v>
      </c>
      <c r="AH33" s="388">
        <f t="shared" si="23"/>
        <v>0</v>
      </c>
      <c r="AI33" s="388">
        <f t="shared" si="24"/>
        <v>0</v>
      </c>
      <c r="AJ33" s="915"/>
      <c r="AK33" s="940">
        <v>24</v>
      </c>
      <c r="AL33" s="971">
        <f t="shared" si="14"/>
        <v>42.267659956675651</v>
      </c>
      <c r="AM33" s="3216">
        <f t="shared" si="25"/>
        <v>50.721191948010777</v>
      </c>
      <c r="AN33" s="915"/>
      <c r="AO33" s="915"/>
      <c r="AP33" s="915"/>
    </row>
    <row r="34" spans="1:42" ht="16.5" customHeight="1">
      <c r="A34" s="5543" t="s">
        <v>783</v>
      </c>
      <c r="B34" s="5544"/>
      <c r="C34" s="2393" t="s">
        <v>72</v>
      </c>
      <c r="D34" s="982" t="s">
        <v>73</v>
      </c>
      <c r="E34" s="2401" t="s">
        <v>74</v>
      </c>
      <c r="F34" s="2402" t="s">
        <v>75</v>
      </c>
      <c r="G34" s="3089" t="s">
        <v>108</v>
      </c>
      <c r="H34" s="2418">
        <v>4.5</v>
      </c>
      <c r="I34" s="3021"/>
      <c r="J34" s="2116"/>
      <c r="K34" s="2117"/>
      <c r="L34" s="3022">
        <f t="shared" si="15"/>
        <v>0</v>
      </c>
      <c r="M34" s="2125">
        <f t="shared" si="15"/>
        <v>0</v>
      </c>
      <c r="N34" s="2508">
        <f t="shared" si="15"/>
        <v>0</v>
      </c>
      <c r="O34" s="3023"/>
      <c r="P34" s="2127"/>
      <c r="Q34" s="2509"/>
      <c r="R34" s="2410"/>
      <c r="S34" s="358"/>
      <c r="T34" s="358"/>
      <c r="U34" s="358"/>
      <c r="V34" s="358"/>
      <c r="W34" s="358"/>
      <c r="X34" s="358"/>
      <c r="Y34" s="358"/>
      <c r="Z34" s="358"/>
      <c r="AA34" s="989">
        <f t="shared" si="16"/>
        <v>0</v>
      </c>
      <c r="AB34" s="388">
        <f t="shared" si="17"/>
        <v>0</v>
      </c>
      <c r="AC34" s="388">
        <f t="shared" si="18"/>
        <v>0</v>
      </c>
      <c r="AD34" s="989">
        <f t="shared" si="19"/>
        <v>0</v>
      </c>
      <c r="AE34" s="388">
        <f t="shared" si="20"/>
        <v>0</v>
      </c>
      <c r="AF34" s="388">
        <f t="shared" si="21"/>
        <v>0</v>
      </c>
      <c r="AG34" s="989">
        <f t="shared" si="22"/>
        <v>0</v>
      </c>
      <c r="AH34" s="388">
        <f t="shared" si="23"/>
        <v>0</v>
      </c>
      <c r="AI34" s="388">
        <f t="shared" si="24"/>
        <v>0</v>
      </c>
      <c r="AJ34" s="915"/>
      <c r="AK34" s="915"/>
      <c r="AL34" s="915"/>
      <c r="AM34" s="915"/>
      <c r="AN34" s="915"/>
      <c r="AO34" s="915"/>
      <c r="AP34" s="915"/>
    </row>
    <row r="35" spans="1:42" ht="16.5" customHeight="1">
      <c r="A35" s="993"/>
      <c r="B35" s="3377" t="str">
        <f t="shared" ref="B35:B40" si="26">B121</f>
        <v>Cane ̸ beet sugar (sucrose)</v>
      </c>
      <c r="C35" s="2398">
        <v>750</v>
      </c>
      <c r="D35" s="994" t="s">
        <v>40</v>
      </c>
      <c r="E35" s="2403">
        <f t="shared" ref="E35:E40" si="27">100*IF(C35=0,0,C35/$E$48)</f>
        <v>32.293483175095268</v>
      </c>
      <c r="F35" s="2403">
        <f t="shared" ref="F35:F40" si="28">IF(W35=0,0,W35*100/$W$44)</f>
        <v>38.810835985407124</v>
      </c>
      <c r="G35" s="3089" t="s">
        <v>109</v>
      </c>
      <c r="H35" s="2418">
        <v>5</v>
      </c>
      <c r="I35" s="3021">
        <v>70</v>
      </c>
      <c r="J35" s="2116"/>
      <c r="K35" s="2117"/>
      <c r="L35" s="3022">
        <f t="shared" si="15"/>
        <v>70</v>
      </c>
      <c r="M35" s="2125">
        <f t="shared" si="15"/>
        <v>0</v>
      </c>
      <c r="N35" s="2508">
        <f t="shared" si="15"/>
        <v>0</v>
      </c>
      <c r="O35" s="3023">
        <v>42</v>
      </c>
      <c r="P35" s="2127"/>
      <c r="Q35" s="2509"/>
      <c r="R35" s="2410"/>
      <c r="S35" s="414">
        <f t="shared" ref="S35:U35" si="29">C121</f>
        <v>375</v>
      </c>
      <c r="T35" s="388">
        <f t="shared" si="29"/>
        <v>1</v>
      </c>
      <c r="U35" s="388">
        <f t="shared" si="29"/>
        <v>0</v>
      </c>
      <c r="V35" s="981"/>
      <c r="W35" s="394">
        <f t="shared" ref="W35" si="30">0.001*C35*S35</f>
        <v>281.25</v>
      </c>
      <c r="X35" s="388">
        <f t="shared" ref="X35" si="31">W35*T35</f>
        <v>281.25</v>
      </c>
      <c r="Y35" s="388">
        <f t="shared" ref="Y35" si="32">0.01*C35*U35</f>
        <v>0</v>
      </c>
      <c r="Z35" s="358"/>
      <c r="AA35" s="989">
        <f t="shared" si="16"/>
        <v>350</v>
      </c>
      <c r="AB35" s="388">
        <f t="shared" si="17"/>
        <v>0</v>
      </c>
      <c r="AC35" s="388">
        <f t="shared" si="18"/>
        <v>0</v>
      </c>
      <c r="AD35" s="989">
        <f t="shared" si="19"/>
        <v>350</v>
      </c>
      <c r="AE35" s="388">
        <f t="shared" si="20"/>
        <v>0</v>
      </c>
      <c r="AF35" s="388">
        <f t="shared" si="21"/>
        <v>0</v>
      </c>
      <c r="AG35" s="989">
        <f t="shared" si="22"/>
        <v>210</v>
      </c>
      <c r="AH35" s="388">
        <f t="shared" si="23"/>
        <v>0</v>
      </c>
      <c r="AI35" s="388">
        <f t="shared" si="24"/>
        <v>0</v>
      </c>
      <c r="AJ35" s="915"/>
      <c r="AK35" s="5545" t="s">
        <v>123</v>
      </c>
      <c r="AL35" s="5545"/>
      <c r="AM35" s="5545"/>
      <c r="AN35" s="5545"/>
      <c r="AO35" s="5545"/>
      <c r="AP35" s="915"/>
    </row>
    <row r="36" spans="1:42" ht="16.5" customHeight="1">
      <c r="A36" s="995"/>
      <c r="B36" s="3377" t="str">
        <f t="shared" si="26"/>
        <v>Brown sugar (light)</v>
      </c>
      <c r="C36" s="2396"/>
      <c r="D36" s="994" t="s">
        <v>40</v>
      </c>
      <c r="E36" s="2403">
        <f t="shared" si="27"/>
        <v>0</v>
      </c>
      <c r="F36" s="2403">
        <f t="shared" si="28"/>
        <v>0</v>
      </c>
      <c r="G36" s="3089" t="s">
        <v>784</v>
      </c>
      <c r="H36" s="2418">
        <v>3.25</v>
      </c>
      <c r="I36" s="3021"/>
      <c r="J36" s="2116"/>
      <c r="K36" s="2117"/>
      <c r="L36" s="3022">
        <f t="shared" si="15"/>
        <v>0</v>
      </c>
      <c r="M36" s="2125">
        <f t="shared" si="15"/>
        <v>0</v>
      </c>
      <c r="N36" s="2508">
        <f t="shared" si="15"/>
        <v>0</v>
      </c>
      <c r="O36" s="3023"/>
      <c r="P36" s="2127"/>
      <c r="Q36" s="2509"/>
      <c r="R36" s="2410"/>
      <c r="S36" s="414">
        <f t="shared" ref="S36:S40" si="33">C122</f>
        <v>370</v>
      </c>
      <c r="T36" s="388">
        <f t="shared" ref="T36:T40" si="34">D122</f>
        <v>1</v>
      </c>
      <c r="U36" s="388">
        <f t="shared" ref="U36:U40" si="35">E122</f>
        <v>16</v>
      </c>
      <c r="V36" s="981"/>
      <c r="W36" s="394">
        <f t="shared" ref="W36:W40" si="36">0.001*C36*S36</f>
        <v>0</v>
      </c>
      <c r="X36" s="388">
        <f t="shared" ref="X36:X40" si="37">W36*T36</f>
        <v>0</v>
      </c>
      <c r="Y36" s="388">
        <f t="shared" ref="Y36:Y40" si="38">0.01*C36*U36</f>
        <v>0</v>
      </c>
      <c r="Z36" s="538"/>
      <c r="AA36" s="989">
        <f t="shared" si="16"/>
        <v>0</v>
      </c>
      <c r="AB36" s="388">
        <f t="shared" si="17"/>
        <v>0</v>
      </c>
      <c r="AC36" s="388">
        <f t="shared" si="18"/>
        <v>0</v>
      </c>
      <c r="AD36" s="989">
        <f t="shared" si="19"/>
        <v>0</v>
      </c>
      <c r="AE36" s="388">
        <f t="shared" si="20"/>
        <v>0</v>
      </c>
      <c r="AF36" s="388">
        <f t="shared" si="21"/>
        <v>0</v>
      </c>
      <c r="AG36" s="989">
        <f t="shared" si="22"/>
        <v>0</v>
      </c>
      <c r="AH36" s="388">
        <f t="shared" si="23"/>
        <v>0</v>
      </c>
      <c r="AI36" s="388">
        <f t="shared" si="24"/>
        <v>0</v>
      </c>
      <c r="AJ36" s="915"/>
      <c r="AK36" s="996" t="s">
        <v>61</v>
      </c>
      <c r="AL36" s="2497" t="s">
        <v>865</v>
      </c>
      <c r="AM36" s="4640" t="s">
        <v>1842</v>
      </c>
      <c r="AN36" s="4692"/>
      <c r="AO36" s="3259" t="s">
        <v>676</v>
      </c>
      <c r="AP36" s="915"/>
    </row>
    <row r="37" spans="1:42" ht="16.5" customHeight="1">
      <c r="A37" s="995"/>
      <c r="B37" s="3377" t="str">
        <f t="shared" si="26"/>
        <v>Brown sugar (medium)</v>
      </c>
      <c r="C37" s="2396"/>
      <c r="D37" s="994" t="s">
        <v>40</v>
      </c>
      <c r="E37" s="2403">
        <f t="shared" si="27"/>
        <v>0</v>
      </c>
      <c r="F37" s="2403">
        <f t="shared" si="28"/>
        <v>0</v>
      </c>
      <c r="G37" s="3089" t="s">
        <v>785</v>
      </c>
      <c r="H37" s="2418">
        <v>6.7</v>
      </c>
      <c r="I37" s="3021"/>
      <c r="J37" s="2116"/>
      <c r="K37" s="2117"/>
      <c r="L37" s="3022">
        <f t="shared" si="15"/>
        <v>0</v>
      </c>
      <c r="M37" s="2125">
        <f t="shared" si="15"/>
        <v>0</v>
      </c>
      <c r="N37" s="2508">
        <f t="shared" si="15"/>
        <v>0</v>
      </c>
      <c r="O37" s="3023"/>
      <c r="P37" s="2127"/>
      <c r="Q37" s="2509"/>
      <c r="R37" s="2410"/>
      <c r="S37" s="414">
        <f t="shared" si="33"/>
        <v>370</v>
      </c>
      <c r="T37" s="388">
        <f t="shared" si="34"/>
        <v>1</v>
      </c>
      <c r="U37" s="388">
        <f t="shared" si="35"/>
        <v>45</v>
      </c>
      <c r="V37" s="981"/>
      <c r="W37" s="394">
        <f t="shared" si="36"/>
        <v>0</v>
      </c>
      <c r="X37" s="388">
        <f t="shared" si="37"/>
        <v>0</v>
      </c>
      <c r="Y37" s="388">
        <f t="shared" si="38"/>
        <v>0</v>
      </c>
      <c r="Z37" s="538"/>
      <c r="AA37" s="989">
        <f t="shared" si="16"/>
        <v>0</v>
      </c>
      <c r="AB37" s="388">
        <f t="shared" si="17"/>
        <v>0</v>
      </c>
      <c r="AC37" s="388">
        <f t="shared" si="18"/>
        <v>0</v>
      </c>
      <c r="AD37" s="989">
        <f t="shared" si="19"/>
        <v>0</v>
      </c>
      <c r="AE37" s="388">
        <f t="shared" si="20"/>
        <v>0</v>
      </c>
      <c r="AF37" s="388">
        <f t="shared" si="21"/>
        <v>0</v>
      </c>
      <c r="AG37" s="989">
        <f t="shared" si="22"/>
        <v>0</v>
      </c>
      <c r="AH37" s="388">
        <f t="shared" si="23"/>
        <v>0</v>
      </c>
      <c r="AI37" s="388">
        <f t="shared" si="24"/>
        <v>0</v>
      </c>
      <c r="AJ37" s="915"/>
      <c r="AK37" s="974">
        <v>1</v>
      </c>
      <c r="AL37" s="2498">
        <f t="shared" ref="AL37:AL43" si="39">16*AO37</f>
        <v>3.5273368606701938E-2</v>
      </c>
      <c r="AM37" s="4642" t="str">
        <f t="shared" ref="AM37:AM43" si="40">INT(AL37/16)&amp;"  lb   "&amp;FIXED(AL37-16*INT(AL37/16),2)&amp;"  oz"</f>
        <v>0  lb   0.04  oz</v>
      </c>
      <c r="AN37" s="4643"/>
      <c r="AO37" s="3284">
        <f t="shared" ref="AO37:AO43" si="41">AK37/(1000*0.4536)</f>
        <v>2.2045855379188711E-3</v>
      </c>
      <c r="AP37" s="915"/>
    </row>
    <row r="38" spans="1:42" ht="16.5" customHeight="1">
      <c r="A38" s="995"/>
      <c r="B38" s="3377" t="str">
        <f t="shared" si="26"/>
        <v>Brown sugar (dark)</v>
      </c>
      <c r="C38" s="2396"/>
      <c r="D38" s="994" t="s">
        <v>40</v>
      </c>
      <c r="E38" s="2403">
        <f t="shared" si="27"/>
        <v>0</v>
      </c>
      <c r="F38" s="2403">
        <f t="shared" si="28"/>
        <v>0</v>
      </c>
      <c r="G38" s="3089" t="s">
        <v>119</v>
      </c>
      <c r="H38" s="2418">
        <v>13.5</v>
      </c>
      <c r="I38" s="3021"/>
      <c r="J38" s="2116"/>
      <c r="K38" s="2117"/>
      <c r="L38" s="3022">
        <f t="shared" si="15"/>
        <v>0</v>
      </c>
      <c r="M38" s="2125">
        <f t="shared" si="15"/>
        <v>0</v>
      </c>
      <c r="N38" s="2508">
        <f t="shared" si="15"/>
        <v>0</v>
      </c>
      <c r="O38" s="3023"/>
      <c r="P38" s="2127"/>
      <c r="Q38" s="2509"/>
      <c r="R38" s="2410"/>
      <c r="S38" s="414">
        <f t="shared" si="33"/>
        <v>370</v>
      </c>
      <c r="T38" s="388">
        <f t="shared" si="34"/>
        <v>1</v>
      </c>
      <c r="U38" s="388">
        <f t="shared" si="35"/>
        <v>90</v>
      </c>
      <c r="V38" s="388"/>
      <c r="W38" s="394">
        <f t="shared" si="36"/>
        <v>0</v>
      </c>
      <c r="X38" s="388">
        <f t="shared" si="37"/>
        <v>0</v>
      </c>
      <c r="Y38" s="388">
        <f t="shared" si="38"/>
        <v>0</v>
      </c>
      <c r="Z38" s="538"/>
      <c r="AA38" s="989">
        <f t="shared" si="16"/>
        <v>0</v>
      </c>
      <c r="AB38" s="388">
        <f t="shared" si="17"/>
        <v>0</v>
      </c>
      <c r="AC38" s="388">
        <f t="shared" si="18"/>
        <v>0</v>
      </c>
      <c r="AD38" s="989">
        <f t="shared" si="19"/>
        <v>0</v>
      </c>
      <c r="AE38" s="388">
        <f t="shared" si="20"/>
        <v>0</v>
      </c>
      <c r="AF38" s="388">
        <f t="shared" si="21"/>
        <v>0</v>
      </c>
      <c r="AG38" s="989">
        <f t="shared" si="22"/>
        <v>0</v>
      </c>
      <c r="AH38" s="388">
        <f t="shared" si="23"/>
        <v>0</v>
      </c>
      <c r="AI38" s="388">
        <f t="shared" si="24"/>
        <v>0</v>
      </c>
      <c r="AJ38" s="915"/>
      <c r="AK38" s="974">
        <v>2</v>
      </c>
      <c r="AL38" s="2498">
        <f t="shared" si="39"/>
        <v>7.0546737213403876E-2</v>
      </c>
      <c r="AM38" s="4642" t="str">
        <f t="shared" si="40"/>
        <v>0  lb   0.07  oz</v>
      </c>
      <c r="AN38" s="4643"/>
      <c r="AO38" s="3284">
        <f t="shared" si="41"/>
        <v>4.4091710758377423E-3</v>
      </c>
      <c r="AP38" s="915"/>
    </row>
    <row r="39" spans="1:42" ht="16.5" customHeight="1">
      <c r="A39" s="995"/>
      <c r="B39" s="3377" t="str">
        <f>B125</f>
        <v>Honey (1 lb = 454g)</v>
      </c>
      <c r="C39" s="2396"/>
      <c r="D39" s="994" t="s">
        <v>40</v>
      </c>
      <c r="E39" s="2403">
        <f t="shared" si="27"/>
        <v>0</v>
      </c>
      <c r="F39" s="2403">
        <f t="shared" si="28"/>
        <v>0</v>
      </c>
      <c r="G39" s="3089" t="s">
        <v>786</v>
      </c>
      <c r="H39" s="2418">
        <v>7.5</v>
      </c>
      <c r="I39" s="3021"/>
      <c r="J39" s="2116"/>
      <c r="K39" s="2117"/>
      <c r="L39" s="3022">
        <f t="shared" si="15"/>
        <v>0</v>
      </c>
      <c r="M39" s="2125">
        <f t="shared" si="15"/>
        <v>0</v>
      </c>
      <c r="N39" s="2508">
        <f t="shared" si="15"/>
        <v>0</v>
      </c>
      <c r="O39" s="3023"/>
      <c r="P39" s="2127"/>
      <c r="Q39" s="2509"/>
      <c r="R39" s="2410"/>
      <c r="S39" s="414">
        <f t="shared" si="33"/>
        <v>300</v>
      </c>
      <c r="T39" s="388">
        <f t="shared" si="34"/>
        <v>0.95</v>
      </c>
      <c r="U39" s="388">
        <f t="shared" si="35"/>
        <v>10</v>
      </c>
      <c r="V39" s="388"/>
      <c r="W39" s="394">
        <f t="shared" si="36"/>
        <v>0</v>
      </c>
      <c r="X39" s="388">
        <f t="shared" si="37"/>
        <v>0</v>
      </c>
      <c r="Y39" s="388">
        <f t="shared" si="38"/>
        <v>0</v>
      </c>
      <c r="Z39" s="538"/>
      <c r="AA39" s="989">
        <f t="shared" si="16"/>
        <v>0</v>
      </c>
      <c r="AB39" s="388">
        <f t="shared" si="17"/>
        <v>0</v>
      </c>
      <c r="AC39" s="388">
        <f t="shared" si="18"/>
        <v>0</v>
      </c>
      <c r="AD39" s="989">
        <f t="shared" si="19"/>
        <v>0</v>
      </c>
      <c r="AE39" s="388">
        <f t="shared" si="20"/>
        <v>0</v>
      </c>
      <c r="AF39" s="388">
        <f t="shared" si="21"/>
        <v>0</v>
      </c>
      <c r="AG39" s="989">
        <f t="shared" si="22"/>
        <v>0</v>
      </c>
      <c r="AH39" s="388">
        <f t="shared" si="23"/>
        <v>0</v>
      </c>
      <c r="AI39" s="388">
        <f t="shared" si="24"/>
        <v>0</v>
      </c>
      <c r="AJ39" s="915"/>
      <c r="AK39" s="974">
        <v>50</v>
      </c>
      <c r="AL39" s="2498">
        <f t="shared" si="39"/>
        <v>1.7636684303350969</v>
      </c>
      <c r="AM39" s="4642" t="str">
        <f t="shared" si="40"/>
        <v>0  lb   1.76  oz</v>
      </c>
      <c r="AN39" s="4643"/>
      <c r="AO39" s="3284">
        <f t="shared" si="41"/>
        <v>0.11022927689594356</v>
      </c>
      <c r="AP39" s="915"/>
    </row>
    <row r="40" spans="1:42" ht="16.5" customHeight="1">
      <c r="A40" s="997"/>
      <c r="B40" s="3479" t="str">
        <f t="shared" si="26"/>
        <v>Lactose (non-fermentable sugar)</v>
      </c>
      <c r="C40" s="2399"/>
      <c r="D40" s="994" t="s">
        <v>40</v>
      </c>
      <c r="E40" s="2403">
        <f t="shared" si="27"/>
        <v>0</v>
      </c>
      <c r="F40" s="2403">
        <f t="shared" si="28"/>
        <v>0</v>
      </c>
      <c r="G40" s="3089" t="s">
        <v>124</v>
      </c>
      <c r="H40" s="2418">
        <v>9.25</v>
      </c>
      <c r="I40" s="3021"/>
      <c r="J40" s="2116"/>
      <c r="K40" s="2117"/>
      <c r="L40" s="3022">
        <f t="shared" si="15"/>
        <v>0</v>
      </c>
      <c r="M40" s="2125">
        <f t="shared" si="15"/>
        <v>0</v>
      </c>
      <c r="N40" s="2508">
        <f t="shared" si="15"/>
        <v>0</v>
      </c>
      <c r="O40" s="3023"/>
      <c r="P40" s="2127"/>
      <c r="Q40" s="2509"/>
      <c r="R40" s="2410"/>
      <c r="S40" s="414">
        <f t="shared" si="33"/>
        <v>380</v>
      </c>
      <c r="T40" s="388">
        <f t="shared" si="34"/>
        <v>0</v>
      </c>
      <c r="U40" s="388">
        <f t="shared" si="35"/>
        <v>30</v>
      </c>
      <c r="V40" s="913"/>
      <c r="W40" s="394">
        <f t="shared" si="36"/>
        <v>0</v>
      </c>
      <c r="X40" s="388">
        <f t="shared" si="37"/>
        <v>0</v>
      </c>
      <c r="Y40" s="388">
        <f t="shared" si="38"/>
        <v>0</v>
      </c>
      <c r="Z40" s="538"/>
      <c r="AA40" s="989">
        <f t="shared" si="16"/>
        <v>0</v>
      </c>
      <c r="AB40" s="388">
        <f t="shared" si="17"/>
        <v>0</v>
      </c>
      <c r="AC40" s="388">
        <f t="shared" si="18"/>
        <v>0</v>
      </c>
      <c r="AD40" s="989">
        <f t="shared" si="19"/>
        <v>0</v>
      </c>
      <c r="AE40" s="388">
        <f t="shared" si="20"/>
        <v>0</v>
      </c>
      <c r="AF40" s="388">
        <f t="shared" si="21"/>
        <v>0</v>
      </c>
      <c r="AG40" s="989">
        <f t="shared" si="22"/>
        <v>0</v>
      </c>
      <c r="AH40" s="388">
        <f t="shared" si="23"/>
        <v>0</v>
      </c>
      <c r="AI40" s="388">
        <f t="shared" si="24"/>
        <v>0</v>
      </c>
      <c r="AJ40" s="915"/>
      <c r="AK40" s="974">
        <v>1000</v>
      </c>
      <c r="AL40" s="2498">
        <f t="shared" si="39"/>
        <v>35.273368606701936</v>
      </c>
      <c r="AM40" s="4642" t="str">
        <f t="shared" si="40"/>
        <v>2  lb   3.27  oz</v>
      </c>
      <c r="AN40" s="4643"/>
      <c r="AO40" s="3284">
        <f t="shared" si="41"/>
        <v>2.204585537918871</v>
      </c>
      <c r="AP40" s="915"/>
    </row>
    <row r="41" spans="1:42" ht="16.5" customHeight="1">
      <c r="A41" s="997"/>
      <c r="B41" s="998" t="s">
        <v>177</v>
      </c>
      <c r="C41" s="2400">
        <f>C44*H4+(S35*C35*T35+S36*C36*T36+S37*C37*T37+S38*C38*T38+S39*C39*T39+S40*C40*T40)/375</f>
        <v>822.45</v>
      </c>
      <c r="D41" s="5598" t="str">
        <f>"g = "&amp;FIXED(100*(W43+SUM(W35:W40))/(W43+SUM(W24:W40)),0)&amp;"% of the fermentable sugars."</f>
        <v>g = 43% of the fermentable sugars.</v>
      </c>
      <c r="E41" s="5598"/>
      <c r="F41" s="5599"/>
      <c r="G41" s="3089" t="s">
        <v>130</v>
      </c>
      <c r="H41" s="2418">
        <v>6.5</v>
      </c>
      <c r="I41" s="3021"/>
      <c r="J41" s="2116"/>
      <c r="K41" s="2117"/>
      <c r="L41" s="3022">
        <f t="shared" si="15"/>
        <v>0</v>
      </c>
      <c r="M41" s="2125">
        <f t="shared" si="15"/>
        <v>0</v>
      </c>
      <c r="N41" s="2508">
        <f t="shared" si="15"/>
        <v>0</v>
      </c>
      <c r="O41" s="3023"/>
      <c r="P41" s="2127"/>
      <c r="Q41" s="2509"/>
      <c r="R41" s="2410"/>
      <c r="S41" s="2010"/>
      <c r="T41" s="2010"/>
      <c r="U41" s="2010"/>
      <c r="V41" s="2010"/>
      <c r="W41" s="2010"/>
      <c r="X41" s="2010"/>
      <c r="Y41" s="2010"/>
      <c r="Z41" s="2010"/>
      <c r="AA41" s="989">
        <f t="shared" si="16"/>
        <v>0</v>
      </c>
      <c r="AB41" s="388">
        <f t="shared" si="17"/>
        <v>0</v>
      </c>
      <c r="AC41" s="388">
        <f t="shared" si="18"/>
        <v>0</v>
      </c>
      <c r="AD41" s="989">
        <f t="shared" si="19"/>
        <v>0</v>
      </c>
      <c r="AE41" s="388">
        <f t="shared" si="20"/>
        <v>0</v>
      </c>
      <c r="AF41" s="388">
        <f t="shared" si="21"/>
        <v>0</v>
      </c>
      <c r="AG41" s="989">
        <f t="shared" si="22"/>
        <v>0</v>
      </c>
      <c r="AH41" s="388">
        <f t="shared" si="23"/>
        <v>0</v>
      </c>
      <c r="AI41" s="388">
        <f t="shared" si="24"/>
        <v>0</v>
      </c>
      <c r="AJ41" s="985"/>
      <c r="AK41" s="974">
        <v>100</v>
      </c>
      <c r="AL41" s="2498">
        <f t="shared" si="39"/>
        <v>3.5273368606701938</v>
      </c>
      <c r="AM41" s="4642" t="str">
        <f t="shared" si="40"/>
        <v>0  lb   3.53  oz</v>
      </c>
      <c r="AN41" s="4643"/>
      <c r="AO41" s="3284">
        <f t="shared" si="41"/>
        <v>0.22045855379188711</v>
      </c>
      <c r="AP41" s="915"/>
    </row>
    <row r="42" spans="1:42" ht="16.5" customHeight="1">
      <c r="A42" s="997"/>
      <c r="B42" s="5600" t="s">
        <v>787</v>
      </c>
      <c r="C42" s="5600"/>
      <c r="D42" s="5600"/>
      <c r="E42" s="5600"/>
      <c r="F42" s="5600"/>
      <c r="G42" s="3089" t="s">
        <v>132</v>
      </c>
      <c r="H42" s="2418">
        <v>11</v>
      </c>
      <c r="I42" s="3021"/>
      <c r="J42" s="2116"/>
      <c r="K42" s="2117"/>
      <c r="L42" s="3022">
        <f t="shared" si="15"/>
        <v>0</v>
      </c>
      <c r="M42" s="2125">
        <f t="shared" si="15"/>
        <v>0</v>
      </c>
      <c r="N42" s="2508">
        <f t="shared" si="15"/>
        <v>0</v>
      </c>
      <c r="O42" s="3023"/>
      <c r="P42" s="2127"/>
      <c r="Q42" s="2509"/>
      <c r="R42" s="2410"/>
      <c r="S42" s="358"/>
      <c r="T42" s="358"/>
      <c r="U42" s="394"/>
      <c r="V42" s="913"/>
      <c r="W42" s="913"/>
      <c r="X42" s="358"/>
      <c r="Y42" s="394">
        <f>SUM(Y24:Y40)/H4</f>
        <v>4.2391304347826084</v>
      </c>
      <c r="Z42" s="388" t="s">
        <v>181</v>
      </c>
      <c r="AA42" s="989">
        <f t="shared" si="16"/>
        <v>0</v>
      </c>
      <c r="AB42" s="388">
        <f t="shared" si="17"/>
        <v>0</v>
      </c>
      <c r="AC42" s="388">
        <f t="shared" si="18"/>
        <v>0</v>
      </c>
      <c r="AD42" s="989">
        <f t="shared" si="19"/>
        <v>0</v>
      </c>
      <c r="AE42" s="388">
        <f t="shared" si="20"/>
        <v>0</v>
      </c>
      <c r="AF42" s="388">
        <f t="shared" si="21"/>
        <v>0</v>
      </c>
      <c r="AG42" s="989">
        <f t="shared" si="22"/>
        <v>0</v>
      </c>
      <c r="AH42" s="388">
        <f t="shared" si="23"/>
        <v>0</v>
      </c>
      <c r="AI42" s="388">
        <f t="shared" si="24"/>
        <v>0</v>
      </c>
      <c r="AJ42" s="915"/>
      <c r="AK42" s="974">
        <v>500</v>
      </c>
      <c r="AL42" s="2498">
        <f t="shared" si="39"/>
        <v>17.636684303350968</v>
      </c>
      <c r="AM42" s="4642" t="str">
        <f t="shared" si="40"/>
        <v>1  lb   1.64  oz</v>
      </c>
      <c r="AN42" s="4643"/>
      <c r="AO42" s="3284">
        <f t="shared" si="41"/>
        <v>1.1022927689594355</v>
      </c>
      <c r="AP42" s="915"/>
    </row>
    <row r="43" spans="1:42" ht="16.5" customHeight="1">
      <c r="A43" s="997"/>
      <c r="B43" s="999"/>
      <c r="C43" s="999"/>
      <c r="D43" s="999"/>
      <c r="E43" s="2408" t="s">
        <v>74</v>
      </c>
      <c r="F43" s="2408" t="s">
        <v>75</v>
      </c>
      <c r="G43" s="3089" t="s">
        <v>135</v>
      </c>
      <c r="H43" s="2418">
        <v>6.2</v>
      </c>
      <c r="I43" s="3021"/>
      <c r="J43" s="2116"/>
      <c r="K43" s="2117"/>
      <c r="L43" s="3022">
        <f t="shared" si="15"/>
        <v>0</v>
      </c>
      <c r="M43" s="2125">
        <f t="shared" si="15"/>
        <v>0</v>
      </c>
      <c r="N43" s="2508">
        <f t="shared" si="15"/>
        <v>0</v>
      </c>
      <c r="O43" s="3023"/>
      <c r="P43" s="2127"/>
      <c r="Q43" s="2509"/>
      <c r="R43" s="2410"/>
      <c r="S43" s="358"/>
      <c r="T43" s="358"/>
      <c r="U43" s="394"/>
      <c r="V43" s="1000" t="s">
        <v>346</v>
      </c>
      <c r="W43" s="418">
        <f>0.001*C44*375*H$4</f>
        <v>27.168749999999999</v>
      </c>
      <c r="X43" s="394"/>
      <c r="Y43" s="394"/>
      <c r="Z43" s="388"/>
      <c r="AA43" s="989">
        <f t="shared" si="16"/>
        <v>0</v>
      </c>
      <c r="AB43" s="388">
        <f t="shared" si="17"/>
        <v>0</v>
      </c>
      <c r="AC43" s="388">
        <f t="shared" si="18"/>
        <v>0</v>
      </c>
      <c r="AD43" s="989">
        <f t="shared" si="19"/>
        <v>0</v>
      </c>
      <c r="AE43" s="388">
        <f t="shared" si="20"/>
        <v>0</v>
      </c>
      <c r="AF43" s="388">
        <f t="shared" si="21"/>
        <v>0</v>
      </c>
      <c r="AG43" s="989">
        <f t="shared" si="22"/>
        <v>0</v>
      </c>
      <c r="AH43" s="388">
        <f t="shared" si="23"/>
        <v>0</v>
      </c>
      <c r="AI43" s="388">
        <f t="shared" si="24"/>
        <v>0</v>
      </c>
      <c r="AJ43" s="915"/>
      <c r="AK43" s="974">
        <v>3800</v>
      </c>
      <c r="AL43" s="2499">
        <f t="shared" si="39"/>
        <v>134.03880070546737</v>
      </c>
      <c r="AM43" s="4642" t="str">
        <f t="shared" si="40"/>
        <v>8  lb   6.04  oz</v>
      </c>
      <c r="AN43" s="4643"/>
      <c r="AO43" s="3284">
        <f t="shared" si="41"/>
        <v>8.3774250440917104</v>
      </c>
      <c r="AP43" s="915"/>
    </row>
    <row r="44" spans="1:42" ht="16.5" customHeight="1">
      <c r="A44" s="997"/>
      <c r="B44" s="3589" t="str">
        <f>"Priming sugar (1 level tsp = "&amp;Q$18&amp;"g)"</f>
        <v>Priming sugar (1 level tsp = 3.15g)</v>
      </c>
      <c r="C44" s="1046">
        <v>3.15</v>
      </c>
      <c r="D44" s="3589" t="s">
        <v>180</v>
      </c>
      <c r="E44" s="2403">
        <f>100*IF(C44=0,0,C44*H4/$E$48)</f>
        <v>3.1195504747142033</v>
      </c>
      <c r="F44" s="2403">
        <f>IF(W43=0,0,W43*100/$W$44)</f>
        <v>3.7491267561903281</v>
      </c>
      <c r="G44" s="3089" t="s">
        <v>136</v>
      </c>
      <c r="H44" s="2418">
        <v>2.2000000000000002</v>
      </c>
      <c r="I44" s="3021"/>
      <c r="J44" s="2116"/>
      <c r="K44" s="2117"/>
      <c r="L44" s="3022">
        <f t="shared" ref="L44:N53" si="42">I44</f>
        <v>0</v>
      </c>
      <c r="M44" s="2125">
        <f t="shared" si="42"/>
        <v>0</v>
      </c>
      <c r="N44" s="2508">
        <f t="shared" si="42"/>
        <v>0</v>
      </c>
      <c r="O44" s="3023"/>
      <c r="P44" s="2127"/>
      <c r="Q44" s="2509"/>
      <c r="R44" s="2410"/>
      <c r="S44" s="1002" t="s">
        <v>788</v>
      </c>
      <c r="T44" s="1003">
        <f>89.6/342</f>
        <v>0.26198830409356721</v>
      </c>
      <c r="U44" s="394"/>
      <c r="V44" s="1004" t="s">
        <v>186</v>
      </c>
      <c r="W44" s="1005">
        <f>W43+SUM(W24:W40)</f>
        <v>724.66875000000005</v>
      </c>
      <c r="X44" s="394"/>
      <c r="Y44" s="394"/>
      <c r="Z44" s="981"/>
      <c r="AA44" s="989">
        <f t="shared" si="16"/>
        <v>0</v>
      </c>
      <c r="AB44" s="388">
        <f t="shared" si="17"/>
        <v>0</v>
      </c>
      <c r="AC44" s="388">
        <f t="shared" si="18"/>
        <v>0</v>
      </c>
      <c r="AD44" s="989">
        <f t="shared" si="19"/>
        <v>0</v>
      </c>
      <c r="AE44" s="388">
        <f t="shared" si="20"/>
        <v>0</v>
      </c>
      <c r="AF44" s="388">
        <f t="shared" si="21"/>
        <v>0</v>
      </c>
      <c r="AG44" s="989">
        <f t="shared" si="22"/>
        <v>0</v>
      </c>
      <c r="AH44" s="388">
        <f t="shared" si="23"/>
        <v>0</v>
      </c>
      <c r="AI44" s="388">
        <f t="shared" si="24"/>
        <v>0</v>
      </c>
      <c r="AJ44" s="915"/>
      <c r="AK44" s="915"/>
      <c r="AL44" s="1006"/>
      <c r="AM44" s="1006"/>
      <c r="AN44" s="1006"/>
      <c r="AO44" s="1006"/>
      <c r="AP44" s="915"/>
    </row>
    <row r="45" spans="1:42" ht="16.5" customHeight="1">
      <c r="A45" s="997"/>
      <c r="B45" s="939" t="s">
        <v>789</v>
      </c>
      <c r="C45" s="2407">
        <f>C44/Q18</f>
        <v>1</v>
      </c>
      <c r="D45" s="5596" t="s">
        <v>183</v>
      </c>
      <c r="E45" s="5596"/>
      <c r="F45" s="5596"/>
      <c r="G45" s="3089" t="s">
        <v>790</v>
      </c>
      <c r="H45" s="2418">
        <v>4.7</v>
      </c>
      <c r="I45" s="3021"/>
      <c r="J45" s="2116"/>
      <c r="K45" s="2117"/>
      <c r="L45" s="3022">
        <f t="shared" si="42"/>
        <v>0</v>
      </c>
      <c r="M45" s="2125">
        <f t="shared" si="42"/>
        <v>0</v>
      </c>
      <c r="N45" s="2508">
        <f t="shared" si="42"/>
        <v>0</v>
      </c>
      <c r="O45" s="3023"/>
      <c r="P45" s="2127"/>
      <c r="Q45" s="2509"/>
      <c r="R45" s="2410"/>
      <c r="S45" s="1007" t="s">
        <v>198</v>
      </c>
      <c r="T45" s="1008" t="s">
        <v>199</v>
      </c>
      <c r="U45" s="436"/>
      <c r="V45" s="437" t="s">
        <v>191</v>
      </c>
      <c r="W45" s="418">
        <f>SUM(X24:X32)/H4</f>
        <v>13.392391304347825</v>
      </c>
      <c r="X45" s="388" t="s">
        <v>192</v>
      </c>
      <c r="Y45" s="388" t="s">
        <v>193</v>
      </c>
      <c r="Z45" s="981"/>
      <c r="AA45" s="989">
        <f t="shared" si="16"/>
        <v>0</v>
      </c>
      <c r="AB45" s="388">
        <f t="shared" si="17"/>
        <v>0</v>
      </c>
      <c r="AC45" s="388">
        <f t="shared" si="18"/>
        <v>0</v>
      </c>
      <c r="AD45" s="989">
        <f t="shared" si="19"/>
        <v>0</v>
      </c>
      <c r="AE45" s="388">
        <f t="shared" si="20"/>
        <v>0</v>
      </c>
      <c r="AF45" s="388">
        <f t="shared" si="21"/>
        <v>0</v>
      </c>
      <c r="AG45" s="989">
        <f t="shared" si="22"/>
        <v>0</v>
      </c>
      <c r="AH45" s="388">
        <f t="shared" si="23"/>
        <v>0</v>
      </c>
      <c r="AI45" s="388">
        <f t="shared" si="24"/>
        <v>0</v>
      </c>
      <c r="AJ45" s="915"/>
      <c r="AK45" s="1009" t="s">
        <v>126</v>
      </c>
      <c r="AL45" s="2495" t="s">
        <v>125</v>
      </c>
      <c r="AM45" s="2497" t="s">
        <v>865</v>
      </c>
      <c r="AN45" s="2862" t="s">
        <v>61</v>
      </c>
      <c r="AO45" s="915"/>
      <c r="AP45" s="915"/>
    </row>
    <row r="46" spans="1:42" ht="16.5" customHeight="1">
      <c r="A46" s="997"/>
      <c r="B46" s="939" t="s">
        <v>187</v>
      </c>
      <c r="C46" s="1054">
        <v>500</v>
      </c>
      <c r="D46" s="5596" t="s">
        <v>188</v>
      </c>
      <c r="E46" s="5596"/>
      <c r="F46" s="5597"/>
      <c r="G46" s="3089" t="s">
        <v>139</v>
      </c>
      <c r="H46" s="2418">
        <v>4.5</v>
      </c>
      <c r="I46" s="3021"/>
      <c r="J46" s="2116"/>
      <c r="K46" s="2117"/>
      <c r="L46" s="3022">
        <f t="shared" si="42"/>
        <v>0</v>
      </c>
      <c r="M46" s="2510">
        <f t="shared" si="42"/>
        <v>0</v>
      </c>
      <c r="N46" s="2508">
        <f t="shared" si="42"/>
        <v>0</v>
      </c>
      <c r="O46" s="3023"/>
      <c r="P46" s="2127"/>
      <c r="Q46" s="2509"/>
      <c r="R46" s="2410"/>
      <c r="S46" s="2011" t="s">
        <v>205</v>
      </c>
      <c r="T46" s="2012" t="s">
        <v>206</v>
      </c>
      <c r="U46" s="395"/>
      <c r="V46" s="437" t="s">
        <v>194</v>
      </c>
      <c r="W46" s="2407">
        <f>(1.079*(X35+X36+X37+X38+X39+C44*(0.375*H4))/H4)</f>
        <v>14.468862228260869</v>
      </c>
      <c r="X46" s="358" t="s">
        <v>195</v>
      </c>
      <c r="Y46" s="442"/>
      <c r="Z46" s="981"/>
      <c r="AA46" s="989">
        <f t="shared" si="16"/>
        <v>0</v>
      </c>
      <c r="AB46" s="388">
        <f t="shared" si="17"/>
        <v>0</v>
      </c>
      <c r="AC46" s="388">
        <f t="shared" si="18"/>
        <v>0</v>
      </c>
      <c r="AD46" s="989">
        <f t="shared" si="19"/>
        <v>0</v>
      </c>
      <c r="AE46" s="388">
        <f t="shared" si="20"/>
        <v>0</v>
      </c>
      <c r="AF46" s="388">
        <f t="shared" si="21"/>
        <v>0</v>
      </c>
      <c r="AG46" s="989">
        <f t="shared" si="22"/>
        <v>0</v>
      </c>
      <c r="AH46" s="388">
        <f t="shared" si="23"/>
        <v>0</v>
      </c>
      <c r="AI46" s="388">
        <f t="shared" si="24"/>
        <v>0</v>
      </c>
      <c r="AJ46" s="915"/>
      <c r="AK46" s="1012"/>
      <c r="AL46" s="2496">
        <v>0.111</v>
      </c>
      <c r="AM46" s="2865">
        <f t="shared" ref="AM46:AM52" si="43">AK46*16+AL46</f>
        <v>0.111</v>
      </c>
      <c r="AN46" s="3217">
        <f t="shared" ref="AN46:AN52" si="44">1000*(AK46+AL46/16)*0.4536</f>
        <v>3.1468500000000001</v>
      </c>
      <c r="AO46" s="915"/>
      <c r="AP46" s="915"/>
    </row>
    <row r="47" spans="1:42" ht="16.5" customHeight="1">
      <c r="A47" s="997"/>
      <c r="B47" s="3539" t="s">
        <v>189</v>
      </c>
      <c r="C47" s="5591" t="str">
        <f>FIXED(C44*C46/1000)&amp;"g or "&amp;FIXED(C44*C46/(1000*Q18))&amp;" level 5ml tsp."</f>
        <v>1.58g or 0.50 level 5ml tsp.</v>
      </c>
      <c r="D47" s="5591"/>
      <c r="E47" s="5591"/>
      <c r="F47" s="4739"/>
      <c r="G47" s="3089" t="s">
        <v>140</v>
      </c>
      <c r="H47" s="2418">
        <v>11.2</v>
      </c>
      <c r="I47" s="3021"/>
      <c r="J47" s="2116"/>
      <c r="K47" s="2117"/>
      <c r="L47" s="3022">
        <f t="shared" si="42"/>
        <v>0</v>
      </c>
      <c r="M47" s="2125">
        <f t="shared" si="42"/>
        <v>0</v>
      </c>
      <c r="N47" s="2508">
        <f t="shared" si="42"/>
        <v>0</v>
      </c>
      <c r="O47" s="3023"/>
      <c r="P47" s="2127"/>
      <c r="Q47" s="2509"/>
      <c r="R47" s="2410"/>
      <c r="S47" s="2002">
        <v>0</v>
      </c>
      <c r="T47" s="2005">
        <v>1.7130000000000001</v>
      </c>
      <c r="U47" s="395"/>
      <c r="V47" s="437" t="s">
        <v>791</v>
      </c>
      <c r="W47" s="441">
        <f>(1.079*(X35+X36+X37+X38+X39)/H4)</f>
        <v>13.194293478260869</v>
      </c>
      <c r="X47" s="358" t="s">
        <v>201</v>
      </c>
      <c r="Y47" s="358"/>
      <c r="Z47" s="981"/>
      <c r="AA47" s="989">
        <f t="shared" ref="AA47:AA53" si="45">$H47*I47</f>
        <v>0</v>
      </c>
      <c r="AB47" s="388">
        <f t="shared" ref="AB47:AB53" si="46">$H47*J47</f>
        <v>0</v>
      </c>
      <c r="AC47" s="388">
        <f t="shared" ref="AC47:AC53" si="47">$H47*K47</f>
        <v>0</v>
      </c>
      <c r="AD47" s="989">
        <f t="shared" ref="AD47:AD53" si="48">$H47*L47</f>
        <v>0</v>
      </c>
      <c r="AE47" s="388">
        <f t="shared" ref="AE47:AE53" si="49">$H47*M47</f>
        <v>0</v>
      </c>
      <c r="AF47" s="388">
        <f t="shared" ref="AF47:AF53" si="50">$H47*N47</f>
        <v>0</v>
      </c>
      <c r="AG47" s="989">
        <f t="shared" ref="AG47:AG53" si="51">$H47*O47</f>
        <v>0</v>
      </c>
      <c r="AH47" s="388">
        <f t="shared" ref="AH47:AH53" si="52">$H47*P47</f>
        <v>0</v>
      </c>
      <c r="AI47" s="388">
        <f t="shared" ref="AI47:AI53" si="53">$H47*Q47</f>
        <v>0</v>
      </c>
      <c r="AJ47" s="915"/>
      <c r="AK47" s="1012"/>
      <c r="AL47" s="2496">
        <v>1.111</v>
      </c>
      <c r="AM47" s="2865">
        <f>AK47*16+AL47</f>
        <v>1.111</v>
      </c>
      <c r="AN47" s="3217">
        <f t="shared" si="44"/>
        <v>31.496849999999998</v>
      </c>
      <c r="AO47" s="915"/>
      <c r="AP47" s="915"/>
    </row>
    <row r="48" spans="1:42" ht="16.5" customHeight="1">
      <c r="A48" s="997"/>
      <c r="B48" s="3416" t="s">
        <v>1854</v>
      </c>
      <c r="C48" s="3415">
        <f>C44*$T$44+VLOOKUP($H$5,$S$47:$T$90,2)</f>
        <v>1.7022631578947367</v>
      </c>
      <c r="D48" s="1013" t="s">
        <v>184</v>
      </c>
      <c r="E48" s="2409">
        <f>(SUM(C24:C40)+C44*H4)</f>
        <v>2322.4499999999998</v>
      </c>
      <c r="F48" s="2169">
        <f>W44</f>
        <v>724.66875000000005</v>
      </c>
      <c r="G48" s="3089" t="s">
        <v>792</v>
      </c>
      <c r="H48" s="2418">
        <v>5</v>
      </c>
      <c r="I48" s="3021"/>
      <c r="J48" s="2116"/>
      <c r="K48" s="2117"/>
      <c r="L48" s="3022">
        <f t="shared" si="42"/>
        <v>0</v>
      </c>
      <c r="M48" s="2125">
        <f t="shared" si="42"/>
        <v>0</v>
      </c>
      <c r="N48" s="2508">
        <f t="shared" si="42"/>
        <v>0</v>
      </c>
      <c r="O48" s="3023"/>
      <c r="P48" s="2127"/>
      <c r="Q48" s="2509"/>
      <c r="R48" s="2410"/>
      <c r="S48" s="2002">
        <v>1</v>
      </c>
      <c r="T48" s="2005">
        <v>1.6459999999999999</v>
      </c>
      <c r="U48" s="395"/>
      <c r="V48" s="395"/>
      <c r="W48" s="441" t="s">
        <v>207</v>
      </c>
      <c r="X48" s="358"/>
      <c r="Y48" s="358"/>
      <c r="Z48" s="981"/>
      <c r="AA48" s="989">
        <f t="shared" si="45"/>
        <v>0</v>
      </c>
      <c r="AB48" s="388">
        <f t="shared" si="46"/>
        <v>0</v>
      </c>
      <c r="AC48" s="388">
        <f t="shared" si="47"/>
        <v>0</v>
      </c>
      <c r="AD48" s="989">
        <f t="shared" si="48"/>
        <v>0</v>
      </c>
      <c r="AE48" s="388">
        <f t="shared" si="49"/>
        <v>0</v>
      </c>
      <c r="AF48" s="388">
        <f t="shared" si="50"/>
        <v>0</v>
      </c>
      <c r="AG48" s="989">
        <f t="shared" si="51"/>
        <v>0</v>
      </c>
      <c r="AH48" s="388">
        <f t="shared" si="52"/>
        <v>0</v>
      </c>
      <c r="AI48" s="388">
        <f t="shared" si="53"/>
        <v>0</v>
      </c>
      <c r="AJ48" s="915"/>
      <c r="AK48" s="1012"/>
      <c r="AL48" s="2496">
        <v>11.1111</v>
      </c>
      <c r="AM48" s="2865">
        <f t="shared" si="43"/>
        <v>11.1111</v>
      </c>
      <c r="AN48" s="3217">
        <f t="shared" si="44"/>
        <v>314.999685</v>
      </c>
      <c r="AO48" s="915"/>
      <c r="AP48" s="915"/>
    </row>
    <row r="49" spans="1:42" ht="16.5" customHeight="1">
      <c r="A49" s="997"/>
      <c r="B49" s="4197" t="s">
        <v>929</v>
      </c>
      <c r="C49" s="4197"/>
      <c r="D49" s="5592"/>
      <c r="E49" s="5593" t="s">
        <v>190</v>
      </c>
      <c r="F49" s="5594"/>
      <c r="G49" s="3089" t="s">
        <v>142</v>
      </c>
      <c r="H49" s="2418">
        <v>6.3</v>
      </c>
      <c r="I49" s="3021"/>
      <c r="J49" s="2116"/>
      <c r="K49" s="2117"/>
      <c r="L49" s="3022">
        <f t="shared" si="42"/>
        <v>0</v>
      </c>
      <c r="M49" s="2125">
        <f t="shared" si="42"/>
        <v>0</v>
      </c>
      <c r="N49" s="2508">
        <f t="shared" si="42"/>
        <v>0</v>
      </c>
      <c r="O49" s="3023"/>
      <c r="P49" s="2127"/>
      <c r="Q49" s="2509"/>
      <c r="R49" s="2410"/>
      <c r="S49" s="2002">
        <v>2</v>
      </c>
      <c r="T49" s="2006">
        <v>1.5840000000000001</v>
      </c>
      <c r="U49" s="395"/>
      <c r="V49" s="3539" t="s">
        <v>689</v>
      </c>
      <c r="W49" s="418">
        <f>(W43+(SUM(W24:W40)))/H4</f>
        <v>31.50733695652174</v>
      </c>
      <c r="X49" s="444" t="s">
        <v>192</v>
      </c>
      <c r="Y49" s="388" t="s">
        <v>209</v>
      </c>
      <c r="Z49" s="358"/>
      <c r="AA49" s="989">
        <f t="shared" si="45"/>
        <v>0</v>
      </c>
      <c r="AB49" s="388">
        <f t="shared" si="46"/>
        <v>0</v>
      </c>
      <c r="AC49" s="388">
        <f t="shared" si="47"/>
        <v>0</v>
      </c>
      <c r="AD49" s="989">
        <f t="shared" si="48"/>
        <v>0</v>
      </c>
      <c r="AE49" s="388">
        <f t="shared" si="49"/>
        <v>0</v>
      </c>
      <c r="AF49" s="388">
        <f t="shared" si="50"/>
        <v>0</v>
      </c>
      <c r="AG49" s="989">
        <f t="shared" si="51"/>
        <v>0</v>
      </c>
      <c r="AH49" s="388">
        <f t="shared" si="52"/>
        <v>0</v>
      </c>
      <c r="AI49" s="388">
        <f t="shared" si="53"/>
        <v>0</v>
      </c>
      <c r="AJ49" s="915"/>
      <c r="AK49" s="1012">
        <v>1</v>
      </c>
      <c r="AL49" s="2496"/>
      <c r="AM49" s="2865">
        <f t="shared" si="43"/>
        <v>16</v>
      </c>
      <c r="AN49" s="3217">
        <f t="shared" si="44"/>
        <v>453.6</v>
      </c>
      <c r="AO49" s="915"/>
      <c r="AP49" s="915"/>
    </row>
    <row r="50" spans="1:42" ht="16.5" customHeight="1">
      <c r="A50" s="997"/>
      <c r="B50" s="2477" t="s">
        <v>202</v>
      </c>
      <c r="C50" s="2563" t="s">
        <v>680</v>
      </c>
      <c r="D50" s="2564" t="s">
        <v>204</v>
      </c>
      <c r="E50" s="2478">
        <f>SUM(E24:E44)/100</f>
        <v>1</v>
      </c>
      <c r="F50" s="2479">
        <f>SUM(F24:F44)/100</f>
        <v>0.99999999999999989</v>
      </c>
      <c r="G50" s="3089" t="s">
        <v>793</v>
      </c>
      <c r="H50" s="2418"/>
      <c r="I50" s="3021"/>
      <c r="J50" s="2116"/>
      <c r="K50" s="2117"/>
      <c r="L50" s="3022">
        <f t="shared" si="42"/>
        <v>0</v>
      </c>
      <c r="M50" s="2125">
        <f t="shared" si="42"/>
        <v>0</v>
      </c>
      <c r="N50" s="2508">
        <f t="shared" si="42"/>
        <v>0</v>
      </c>
      <c r="O50" s="3023"/>
      <c r="P50" s="2127"/>
      <c r="Q50" s="2509"/>
      <c r="R50" s="2410"/>
      <c r="S50" s="2002">
        <v>3</v>
      </c>
      <c r="T50" s="2006">
        <v>1.53</v>
      </c>
      <c r="U50" s="436"/>
      <c r="V50" s="3539" t="s">
        <v>690</v>
      </c>
      <c r="W50" s="418">
        <f>(SUM(W24:W40))/H4</f>
        <v>30.326086956521738</v>
      </c>
      <c r="X50" s="444" t="s">
        <v>192</v>
      </c>
      <c r="Y50" s="388" t="s">
        <v>193</v>
      </c>
      <c r="Z50" s="524"/>
      <c r="AA50" s="989">
        <f t="shared" si="45"/>
        <v>0</v>
      </c>
      <c r="AB50" s="388">
        <f t="shared" si="46"/>
        <v>0</v>
      </c>
      <c r="AC50" s="388">
        <f t="shared" si="47"/>
        <v>0</v>
      </c>
      <c r="AD50" s="989">
        <f t="shared" si="48"/>
        <v>0</v>
      </c>
      <c r="AE50" s="388">
        <f t="shared" si="49"/>
        <v>0</v>
      </c>
      <c r="AF50" s="388">
        <f t="shared" si="50"/>
        <v>0</v>
      </c>
      <c r="AG50" s="989">
        <f t="shared" si="51"/>
        <v>0</v>
      </c>
      <c r="AH50" s="388">
        <f t="shared" si="52"/>
        <v>0</v>
      </c>
      <c r="AI50" s="388">
        <f t="shared" si="53"/>
        <v>0</v>
      </c>
      <c r="AJ50" s="915"/>
      <c r="AK50" s="1012">
        <v>1</v>
      </c>
      <c r="AL50" s="2496">
        <v>8</v>
      </c>
      <c r="AM50" s="2865">
        <f t="shared" si="43"/>
        <v>24</v>
      </c>
      <c r="AN50" s="3217">
        <f t="shared" si="44"/>
        <v>680.4</v>
      </c>
      <c r="AO50" s="915"/>
      <c r="AP50" s="915"/>
    </row>
    <row r="51" spans="1:42" ht="16.5" customHeight="1">
      <c r="A51" s="5590" t="s">
        <v>1714</v>
      </c>
      <c r="B51" s="5590"/>
      <c r="C51" s="2480" t="str">
        <f>FIXED((100*(1-(W51/W50))),1)&amp;"%"</f>
        <v>87.7%</v>
      </c>
      <c r="D51" s="5595" t="s">
        <v>1180</v>
      </c>
      <c r="E51" s="5595"/>
      <c r="F51" s="2480" t="str">
        <f>FIXED(100*(1-(((0.1808*W50)+(0.8192*W51))/W50)),1)&amp;"%"</f>
        <v>71.8%</v>
      </c>
      <c r="G51" s="3089" t="s">
        <v>464</v>
      </c>
      <c r="H51" s="2418"/>
      <c r="I51" s="3021"/>
      <c r="J51" s="2116"/>
      <c r="K51" s="2117"/>
      <c r="L51" s="3022">
        <f t="shared" si="42"/>
        <v>0</v>
      </c>
      <c r="M51" s="2125">
        <f t="shared" si="42"/>
        <v>0</v>
      </c>
      <c r="N51" s="2508">
        <f t="shared" si="42"/>
        <v>0</v>
      </c>
      <c r="O51" s="3023"/>
      <c r="P51" s="2127"/>
      <c r="Q51" s="2509"/>
      <c r="R51" s="2410"/>
      <c r="S51" s="2002">
        <v>4</v>
      </c>
      <c r="T51" s="2006">
        <v>1.4730000000000001</v>
      </c>
      <c r="U51" s="442"/>
      <c r="V51" s="3539" t="s">
        <v>692</v>
      </c>
      <c r="W51" s="418">
        <f>(W49-W43/H4-W45-W47)</f>
        <v>3.7394021739130476</v>
      </c>
      <c r="X51" s="444" t="s">
        <v>216</v>
      </c>
      <c r="Y51" s="388" t="s">
        <v>193</v>
      </c>
      <c r="Z51" s="981"/>
      <c r="AA51" s="989">
        <f t="shared" si="45"/>
        <v>0</v>
      </c>
      <c r="AB51" s="388">
        <f t="shared" si="46"/>
        <v>0</v>
      </c>
      <c r="AC51" s="388">
        <f t="shared" si="47"/>
        <v>0</v>
      </c>
      <c r="AD51" s="989">
        <f t="shared" si="48"/>
        <v>0</v>
      </c>
      <c r="AE51" s="388">
        <f t="shared" si="49"/>
        <v>0</v>
      </c>
      <c r="AF51" s="388">
        <f t="shared" si="50"/>
        <v>0</v>
      </c>
      <c r="AG51" s="989">
        <f t="shared" si="51"/>
        <v>0</v>
      </c>
      <c r="AH51" s="388">
        <f t="shared" si="52"/>
        <v>0</v>
      </c>
      <c r="AI51" s="388">
        <f t="shared" si="53"/>
        <v>0</v>
      </c>
      <c r="AJ51" s="915"/>
      <c r="AK51" s="1012">
        <v>2</v>
      </c>
      <c r="AL51" s="2496"/>
      <c r="AM51" s="2865">
        <f t="shared" si="43"/>
        <v>32</v>
      </c>
      <c r="AN51" s="3217">
        <f t="shared" si="44"/>
        <v>907.2</v>
      </c>
      <c r="AO51" s="915"/>
      <c r="AP51" s="915"/>
    </row>
    <row r="52" spans="1:42" ht="16.5" customHeight="1">
      <c r="A52" s="352"/>
      <c r="B52" s="352"/>
      <c r="C52" s="352"/>
      <c r="D52" s="352"/>
      <c r="E52" s="352"/>
      <c r="F52" s="352"/>
      <c r="G52" s="3089" t="s">
        <v>148</v>
      </c>
      <c r="H52" s="2418"/>
      <c r="I52" s="3021"/>
      <c r="J52" s="2116"/>
      <c r="K52" s="2117"/>
      <c r="L52" s="3022">
        <f>I52</f>
        <v>0</v>
      </c>
      <c r="M52" s="2125">
        <f t="shared" si="42"/>
        <v>0</v>
      </c>
      <c r="N52" s="2508">
        <f t="shared" si="42"/>
        <v>0</v>
      </c>
      <c r="O52" s="3023"/>
      <c r="P52" s="2127"/>
      <c r="Q52" s="2509"/>
      <c r="R52" s="2410"/>
      <c r="S52" s="2002">
        <v>5</v>
      </c>
      <c r="T52" s="2006">
        <v>1.4239999999999999</v>
      </c>
      <c r="U52" s="358"/>
      <c r="V52" s="3539" t="s">
        <v>693</v>
      </c>
      <c r="W52" s="418">
        <f>(W49-W45-W46)</f>
        <v>3.646083423913046</v>
      </c>
      <c r="X52" s="444" t="s">
        <v>216</v>
      </c>
      <c r="Y52" s="388" t="s">
        <v>209</v>
      </c>
      <c r="Z52" s="358"/>
      <c r="AA52" s="989">
        <f t="shared" si="45"/>
        <v>0</v>
      </c>
      <c r="AB52" s="388">
        <f t="shared" si="46"/>
        <v>0</v>
      </c>
      <c r="AC52" s="388">
        <f t="shared" si="47"/>
        <v>0</v>
      </c>
      <c r="AD52" s="989">
        <f t="shared" si="48"/>
        <v>0</v>
      </c>
      <c r="AE52" s="388">
        <f t="shared" si="49"/>
        <v>0</v>
      </c>
      <c r="AF52" s="388">
        <f t="shared" si="50"/>
        <v>0</v>
      </c>
      <c r="AG52" s="989">
        <f t="shared" si="51"/>
        <v>0</v>
      </c>
      <c r="AH52" s="388">
        <f t="shared" si="52"/>
        <v>0</v>
      </c>
      <c r="AI52" s="388">
        <f t="shared" si="53"/>
        <v>0</v>
      </c>
      <c r="AJ52" s="915"/>
      <c r="AK52" s="1012">
        <v>2</v>
      </c>
      <c r="AL52" s="2496">
        <v>8</v>
      </c>
      <c r="AM52" s="2865">
        <f t="shared" si="43"/>
        <v>40</v>
      </c>
      <c r="AN52" s="3217">
        <f t="shared" si="44"/>
        <v>1134</v>
      </c>
      <c r="AO52" s="915"/>
      <c r="AP52" s="915"/>
    </row>
    <row r="53" spans="1:42" ht="16.5" customHeight="1">
      <c r="A53" s="5634" t="s">
        <v>222</v>
      </c>
      <c r="B53" s="5634"/>
      <c r="C53" s="3521"/>
      <c r="D53" s="1892"/>
      <c r="E53" s="2481"/>
      <c r="F53" s="2482"/>
      <c r="G53" s="1014" t="s">
        <v>149</v>
      </c>
      <c r="H53" s="2419"/>
      <c r="I53" s="2511"/>
      <c r="J53" s="2512"/>
      <c r="K53" s="2513"/>
      <c r="L53" s="2514">
        <f t="shared" si="42"/>
        <v>0</v>
      </c>
      <c r="M53" s="2515">
        <f t="shared" si="42"/>
        <v>0</v>
      </c>
      <c r="N53" s="2516">
        <f t="shared" si="42"/>
        <v>0</v>
      </c>
      <c r="O53" s="2517"/>
      <c r="P53" s="2518"/>
      <c r="Q53" s="2519"/>
      <c r="R53" s="2410"/>
      <c r="S53" s="2002">
        <v>6</v>
      </c>
      <c r="T53" s="2006">
        <v>1.377</v>
      </c>
      <c r="U53" s="913"/>
      <c r="V53" s="913"/>
      <c r="W53" s="913"/>
      <c r="X53" s="913"/>
      <c r="Y53" s="913"/>
      <c r="Z53" s="913"/>
      <c r="AA53" s="989">
        <f t="shared" si="45"/>
        <v>0</v>
      </c>
      <c r="AB53" s="388">
        <f t="shared" si="46"/>
        <v>0</v>
      </c>
      <c r="AC53" s="388">
        <f t="shared" si="47"/>
        <v>0</v>
      </c>
      <c r="AD53" s="989">
        <f t="shared" si="48"/>
        <v>0</v>
      </c>
      <c r="AE53" s="388">
        <f t="shared" si="49"/>
        <v>0</v>
      </c>
      <c r="AF53" s="388">
        <f t="shared" si="50"/>
        <v>0</v>
      </c>
      <c r="AG53" s="989">
        <f t="shared" si="51"/>
        <v>0</v>
      </c>
      <c r="AH53" s="388">
        <f t="shared" si="52"/>
        <v>0</v>
      </c>
      <c r="AI53" s="388">
        <f t="shared" si="53"/>
        <v>0</v>
      </c>
      <c r="AJ53" s="915"/>
      <c r="AK53" s="915"/>
      <c r="AL53" s="915"/>
      <c r="AM53" s="915"/>
      <c r="AN53" s="915"/>
      <c r="AO53" s="915"/>
      <c r="AP53" s="915"/>
    </row>
    <row r="54" spans="1:42" ht="16.5" customHeight="1">
      <c r="A54" s="2483"/>
      <c r="B54" s="4757" t="s">
        <v>223</v>
      </c>
      <c r="C54" s="4757"/>
      <c r="D54" s="2475"/>
      <c r="E54" s="2475"/>
      <c r="F54" s="2476"/>
      <c r="G54" s="5649" t="s">
        <v>150</v>
      </c>
      <c r="H54" s="5650"/>
      <c r="I54" s="3031">
        <v>0</v>
      </c>
      <c r="J54" s="5651" t="str">
        <f>"ml = "&amp;FIXED(I54/5)&amp;" tsp (5ml)"</f>
        <v>ml = 0.00 tsp (5ml)</v>
      </c>
      <c r="K54" s="5652"/>
      <c r="L54" s="2420">
        <f>I54</f>
        <v>0</v>
      </c>
      <c r="M54" s="5653" t="str">
        <f>"ml = "&amp;FIXED(L54/5)&amp;" tsp (5ml)"</f>
        <v>ml = 0.00 tsp (5ml)</v>
      </c>
      <c r="N54" s="5654"/>
      <c r="O54" s="2421">
        <f>I54</f>
        <v>0</v>
      </c>
      <c r="P54" s="5653" t="str">
        <f>"ml = "&amp;FIXED(L54/5)&amp;" tsp (5ml)"</f>
        <v>ml = 0.00 tsp (5ml)</v>
      </c>
      <c r="Q54" s="5655"/>
      <c r="R54" s="985"/>
      <c r="S54" s="2002">
        <v>7</v>
      </c>
      <c r="T54" s="2006">
        <v>1.331</v>
      </c>
      <c r="U54" s="414"/>
      <c r="V54" s="388"/>
      <c r="W54" s="394"/>
      <c r="X54" s="388"/>
      <c r="Y54" s="388"/>
      <c r="Z54" s="52" t="s">
        <v>151</v>
      </c>
      <c r="AA54" s="989">
        <f t="shared" ref="AA54:AF54" si="54">SUM(AA27:AA53)</f>
        <v>350</v>
      </c>
      <c r="AB54" s="388">
        <f t="shared" si="54"/>
        <v>0</v>
      </c>
      <c r="AC54" s="388">
        <f t="shared" si="54"/>
        <v>0</v>
      </c>
      <c r="AD54" s="989">
        <f t="shared" si="54"/>
        <v>350</v>
      </c>
      <c r="AE54" s="388">
        <f t="shared" si="54"/>
        <v>0</v>
      </c>
      <c r="AF54" s="388">
        <f t="shared" si="54"/>
        <v>0</v>
      </c>
      <c r="AG54" s="989">
        <f>SUM(AG27:AG53)</f>
        <v>210</v>
      </c>
      <c r="AH54" s="388">
        <f>SUM(AH27:AH53)</f>
        <v>0</v>
      </c>
      <c r="AI54" s="388">
        <f>SUM(AI27:AI53)</f>
        <v>0</v>
      </c>
      <c r="AJ54" s="915"/>
      <c r="AK54" s="915"/>
      <c r="AL54" s="915"/>
      <c r="AM54" s="915"/>
      <c r="AN54" s="915"/>
      <c r="AO54" s="915"/>
      <c r="AP54" s="915"/>
    </row>
    <row r="55" spans="1:42" ht="16.5" customHeight="1">
      <c r="A55" s="344"/>
      <c r="B55" s="5675" t="s">
        <v>1829</v>
      </c>
      <c r="C55" s="5676"/>
      <c r="D55" s="5676"/>
      <c r="E55" s="5677"/>
      <c r="F55" s="2476"/>
      <c r="G55" s="5656" t="s">
        <v>152</v>
      </c>
      <c r="H55" s="5657"/>
      <c r="I55" s="4067" t="s">
        <v>1892</v>
      </c>
      <c r="J55" s="4068"/>
      <c r="K55" s="4068"/>
      <c r="L55" s="4068"/>
      <c r="M55" s="4068"/>
      <c r="N55" s="4068"/>
      <c r="O55" s="4068"/>
      <c r="P55" s="4068"/>
      <c r="Q55" s="4068"/>
      <c r="R55" s="985"/>
      <c r="S55" s="2002">
        <v>8</v>
      </c>
      <c r="T55" s="2006">
        <v>1.282</v>
      </c>
      <c r="U55" s="414"/>
      <c r="V55" s="388"/>
      <c r="W55" s="394"/>
      <c r="X55" s="388"/>
      <c r="Y55" s="388"/>
      <c r="Z55" s="3539" t="s">
        <v>153</v>
      </c>
      <c r="AA55" s="989">
        <f>SUM(I27:K53)</f>
        <v>70</v>
      </c>
      <c r="AB55" s="388"/>
      <c r="AC55" s="388"/>
      <c r="AD55" s="989">
        <f>SUM(L27:N53)</f>
        <v>70</v>
      </c>
      <c r="AE55" s="981"/>
      <c r="AF55" s="981"/>
      <c r="AG55" s="989">
        <f>SUM(O27:Q53)</f>
        <v>42</v>
      </c>
      <c r="AH55" s="358"/>
      <c r="AI55" s="358"/>
      <c r="AJ55" s="915"/>
      <c r="AK55" s="915"/>
      <c r="AL55" s="915"/>
      <c r="AM55" s="915"/>
      <c r="AN55" s="915"/>
      <c r="AO55" s="915"/>
      <c r="AP55" s="915"/>
    </row>
    <row r="56" spans="1:42" ht="18" customHeight="1">
      <c r="A56" s="913"/>
      <c r="B56" s="5678"/>
      <c r="C56" s="5679"/>
      <c r="D56" s="5679"/>
      <c r="E56" s="5680"/>
      <c r="F56" s="2476"/>
      <c r="G56" s="5658" t="s">
        <v>154</v>
      </c>
      <c r="H56" s="5659"/>
      <c r="I56" s="3829">
        <v>10.75</v>
      </c>
      <c r="J56" s="5529" t="s">
        <v>812</v>
      </c>
      <c r="K56" s="5530"/>
      <c r="L56" s="3830">
        <v>6.5</v>
      </c>
      <c r="M56" s="5639" t="s">
        <v>794</v>
      </c>
      <c r="N56" s="5640"/>
      <c r="O56" s="3831">
        <v>3.5</v>
      </c>
      <c r="P56" s="5643" t="s">
        <v>813</v>
      </c>
      <c r="Q56" s="5644"/>
      <c r="R56" s="985"/>
      <c r="S56" s="2002">
        <v>9</v>
      </c>
      <c r="T56" s="2006">
        <v>1.2370000000000001</v>
      </c>
      <c r="U56" s="414"/>
      <c r="V56" s="388"/>
      <c r="W56" s="394"/>
      <c r="X56" s="388"/>
      <c r="Y56" s="388"/>
      <c r="Z56" s="425"/>
      <c r="AA56" s="425"/>
      <c r="AB56" s="425"/>
      <c r="AC56" s="425"/>
      <c r="AD56" s="425"/>
      <c r="AE56" s="425"/>
      <c r="AF56" s="425"/>
      <c r="AG56" s="425"/>
      <c r="AH56" s="425"/>
      <c r="AI56" s="425"/>
      <c r="AJ56" s="915"/>
      <c r="AK56" s="915"/>
      <c r="AL56" s="915"/>
      <c r="AM56" s="915"/>
      <c r="AN56" s="915"/>
      <c r="AO56" s="915"/>
      <c r="AP56" s="915"/>
    </row>
    <row r="57" spans="1:42" ht="18.75" customHeight="1">
      <c r="A57" s="913"/>
      <c r="B57" s="5678"/>
      <c r="C57" s="5679"/>
      <c r="D57" s="5679"/>
      <c r="E57" s="5680"/>
      <c r="F57" s="2476"/>
      <c r="G57" s="5647" t="s">
        <v>160</v>
      </c>
      <c r="H57" s="5648"/>
      <c r="I57" s="2422">
        <f>1000+SUM($W24:$W39)/$I63</f>
        <v>1065.3089887640449</v>
      </c>
      <c r="J57" s="5531"/>
      <c r="K57" s="5532"/>
      <c r="L57" s="2422">
        <f>1000+SUM($W24:$W32)/$L63</f>
        <v>1064.7356143079317</v>
      </c>
      <c r="M57" s="5641"/>
      <c r="N57" s="5642"/>
      <c r="O57" s="2423">
        <v>1000</v>
      </c>
      <c r="P57" s="5645"/>
      <c r="Q57" s="5646"/>
      <c r="R57" s="985"/>
      <c r="S57" s="2002">
        <v>10</v>
      </c>
      <c r="T57" s="2006">
        <v>1.194</v>
      </c>
      <c r="U57" s="414"/>
      <c r="V57" s="388"/>
      <c r="W57" s="394"/>
      <c r="X57" s="388"/>
      <c r="Y57" s="388"/>
      <c r="Z57" s="1015"/>
      <c r="AA57" s="1016"/>
      <c r="AB57" s="1017"/>
      <c r="AC57" s="1018"/>
      <c r="AD57" s="1019"/>
      <c r="AE57" s="1017"/>
      <c r="AF57" s="913"/>
      <c r="AG57" s="913"/>
      <c r="AH57" s="913"/>
      <c r="AI57" s="913"/>
      <c r="AJ57" s="915"/>
      <c r="AK57" s="915"/>
      <c r="AL57" s="915"/>
      <c r="AM57" s="915"/>
      <c r="AN57" s="915"/>
      <c r="AO57" s="915"/>
      <c r="AP57" s="915"/>
    </row>
    <row r="58" spans="1:42" ht="16.5" customHeight="1">
      <c r="A58" s="344"/>
      <c r="B58" s="5678"/>
      <c r="C58" s="5679"/>
      <c r="D58" s="5679"/>
      <c r="E58" s="5680"/>
      <c r="F58" s="3374"/>
      <c r="G58" s="5533" t="s">
        <v>163</v>
      </c>
      <c r="H58" s="5534"/>
      <c r="I58" s="3819">
        <v>60</v>
      </c>
      <c r="J58" s="3820">
        <v>30</v>
      </c>
      <c r="K58" s="3820">
        <v>15</v>
      </c>
      <c r="L58" s="3821">
        <f>I58</f>
        <v>60</v>
      </c>
      <c r="M58" s="3822">
        <f>J58</f>
        <v>30</v>
      </c>
      <c r="N58" s="3823">
        <f>K58</f>
        <v>15</v>
      </c>
      <c r="O58" s="3824">
        <v>45</v>
      </c>
      <c r="P58" s="3820">
        <f>J58</f>
        <v>30</v>
      </c>
      <c r="Q58" s="3820">
        <f>K58</f>
        <v>15</v>
      </c>
      <c r="R58" s="985"/>
      <c r="S58" s="2002">
        <v>11</v>
      </c>
      <c r="T58" s="2006">
        <v>1.1539999999999999</v>
      </c>
      <c r="U58" s="414"/>
      <c r="V58" s="388"/>
      <c r="W58" s="394"/>
      <c r="X58" s="388"/>
      <c r="Y58" s="388"/>
      <c r="Z58" s="1015"/>
      <c r="AA58" s="1016"/>
      <c r="AB58" s="1017"/>
      <c r="AC58" s="1018"/>
      <c r="AD58" s="1019"/>
      <c r="AE58" s="1017"/>
      <c r="AF58" s="913"/>
      <c r="AG58" s="913"/>
      <c r="AH58" s="913"/>
      <c r="AI58" s="913"/>
      <c r="AJ58" s="915"/>
      <c r="AK58" s="915"/>
      <c r="AL58" s="915"/>
      <c r="AM58" s="915"/>
      <c r="AN58" s="915"/>
      <c r="AO58" s="915"/>
      <c r="AP58" s="915"/>
    </row>
    <row r="59" spans="1:42" ht="16.5" customHeight="1">
      <c r="A59" s="344"/>
      <c r="B59" s="5678"/>
      <c r="C59" s="5679"/>
      <c r="D59" s="5679"/>
      <c r="E59" s="5680"/>
      <c r="F59" s="3374"/>
      <c r="G59" s="5537" t="s">
        <v>165</v>
      </c>
      <c r="H59" s="5538"/>
      <c r="I59" s="3037">
        <f>I60*AA54/($I63*10)</f>
        <v>65.875571405557295</v>
      </c>
      <c r="J59" s="2424">
        <f>J60*AB54/($I63*10)</f>
        <v>0</v>
      </c>
      <c r="K59" s="2425">
        <f>K60*AC54/($I63*10)</f>
        <v>0</v>
      </c>
      <c r="L59" s="3090">
        <f>L60*AD54/($L63*10)</f>
        <v>109.98225177600143</v>
      </c>
      <c r="M59" s="2424">
        <f>M60*AE54/($L63*10)</f>
        <v>0</v>
      </c>
      <c r="N59" s="3091">
        <f>N60*AF54/($L63*10)</f>
        <v>0</v>
      </c>
      <c r="O59" s="3092">
        <f>O60*AG54/($O63*10)</f>
        <v>201.53994943188852</v>
      </c>
      <c r="P59" s="2424">
        <f>P60*AH54/($O63*10)</f>
        <v>0</v>
      </c>
      <c r="Q59" s="3091">
        <f>Q60*AI54/($O63*10)</f>
        <v>0</v>
      </c>
      <c r="R59" s="985"/>
      <c r="S59" s="2002">
        <v>12</v>
      </c>
      <c r="T59" s="2006">
        <v>1.117</v>
      </c>
      <c r="U59" s="981"/>
      <c r="V59" s="981"/>
      <c r="W59" s="1020"/>
      <c r="X59" s="1020"/>
      <c r="Y59" s="981"/>
      <c r="Z59" s="1015"/>
      <c r="AA59" s="1018"/>
      <c r="AB59" s="1017"/>
      <c r="AC59" s="1018"/>
      <c r="AD59" s="1019"/>
      <c r="AE59" s="1017"/>
      <c r="AF59" s="913"/>
      <c r="AG59" s="913"/>
      <c r="AH59" s="913"/>
      <c r="AI59" s="913"/>
      <c r="AJ59" s="915"/>
      <c r="AK59" s="915"/>
      <c r="AL59" s="915"/>
      <c r="AM59" s="915"/>
      <c r="AN59" s="915"/>
      <c r="AO59" s="915"/>
      <c r="AP59" s="915"/>
    </row>
    <row r="60" spans="1:42" ht="16.5" customHeight="1">
      <c r="A60" s="344"/>
      <c r="B60" s="5678"/>
      <c r="C60" s="5679"/>
      <c r="D60" s="5679"/>
      <c r="E60" s="5680"/>
      <c r="F60" s="3374"/>
      <c r="G60" s="5539" t="s">
        <v>1678</v>
      </c>
      <c r="H60" s="5540"/>
      <c r="I60" s="3040">
        <f>165*POWER(0.000125,0.001*($I57-1000))*(1-EXP(-$H81*$I58))/$I81</f>
        <v>20.101460074610056</v>
      </c>
      <c r="J60" s="2136">
        <f>165*POWER(0.000125,0.001*($I57-1000))*(1-EXP(-$H81*$J58))/$I81</f>
        <v>15.448470251853836</v>
      </c>
      <c r="K60" s="2138">
        <f>165*POWER(0.000125,0.001*($I57-1000))*(1-EXP(-$H81*$K58))/$I81</f>
        <v>9.9744022396510346</v>
      </c>
      <c r="L60" s="3093">
        <f>165*POWER(0.000125,0.001*($L57-1000))*(1-EXP(-$H81*$L58))/$I81</f>
        <v>20.205310826276833</v>
      </c>
      <c r="M60" s="2136">
        <f>165*POWER(0.000125,0.001*($L57-1000))*(1-EXP(-$H81*$M58))/$I81</f>
        <v>15.528282128294759</v>
      </c>
      <c r="N60" s="2138">
        <f>165*POWER(0.000125,0.001*($L57-1000))*(1-EXP(-$H81*$N58))/$I81</f>
        <v>10.025933280986829</v>
      </c>
      <c r="O60" s="3042">
        <f>165*POWER(0.000125,0.001*($O57-1000))*(1-EXP(-$H81*$O58))/$I81</f>
        <v>33.186911673117642</v>
      </c>
      <c r="P60" s="2136">
        <f>165*POWER(0.000125,0.001*($O57-1000))*(1-EXP(-$H81*$P58))/$I81</f>
        <v>27.783844586623285</v>
      </c>
      <c r="Q60" s="3043">
        <f>165*POWER(0.000125,0.001*($O57-1000))*(1-EXP(-$H81*$Q58))/$I81</f>
        <v>17.938814468550756</v>
      </c>
      <c r="R60" s="985"/>
      <c r="S60" s="2002">
        <v>13</v>
      </c>
      <c r="T60" s="2006">
        <v>1.083</v>
      </c>
      <c r="U60" s="358"/>
      <c r="V60" s="358"/>
      <c r="W60" s="358"/>
      <c r="X60" s="358"/>
      <c r="Y60" s="358"/>
      <c r="Z60" s="1015"/>
      <c r="AA60" s="1016"/>
      <c r="AB60" s="1017"/>
      <c r="AC60" s="1018"/>
      <c r="AD60" s="1019"/>
      <c r="AE60" s="1021"/>
      <c r="AF60" s="913"/>
      <c r="AG60" s="913"/>
      <c r="AH60" s="913"/>
      <c r="AI60" s="913"/>
      <c r="AJ60" s="915"/>
      <c r="AK60" s="915"/>
      <c r="AL60" s="915"/>
      <c r="AM60" s="915"/>
      <c r="AN60" s="915"/>
      <c r="AO60" s="915"/>
      <c r="AP60" s="915"/>
    </row>
    <row r="61" spans="1:42" ht="16.5" customHeight="1">
      <c r="A61" s="344"/>
      <c r="B61" s="5678"/>
      <c r="C61" s="5679"/>
      <c r="D61" s="5679"/>
      <c r="E61" s="5680"/>
      <c r="F61" s="3374"/>
      <c r="G61" s="5514" t="s">
        <v>168</v>
      </c>
      <c r="H61" s="5515"/>
      <c r="I61" s="3094">
        <f>I59*$I63/$H$4</f>
        <v>30.589178374406604</v>
      </c>
      <c r="J61" s="3046">
        <f>J59*$I63/$H$4</f>
        <v>0</v>
      </c>
      <c r="K61" s="3095">
        <f>K59*$I63/$H$4</f>
        <v>0</v>
      </c>
      <c r="L61" s="3094">
        <f>L59*$L63/$H$4</f>
        <v>30.747212126943008</v>
      </c>
      <c r="M61" s="3046">
        <f>M59*$L63/$H$4</f>
        <v>0</v>
      </c>
      <c r="N61" s="3096">
        <f>N59*$L63/$H$4</f>
        <v>0</v>
      </c>
      <c r="O61" s="3094">
        <f>O59*$O63/$H$4</f>
        <v>30.301093266759587</v>
      </c>
      <c r="P61" s="3046">
        <f>P59*$O63/$H$4</f>
        <v>0</v>
      </c>
      <c r="Q61" s="3096">
        <f>Q59*$O63/$H$4</f>
        <v>0</v>
      </c>
      <c r="R61" s="3075"/>
      <c r="S61" s="2002">
        <f>(S60+S62)/2</f>
        <v>13.5</v>
      </c>
      <c r="T61" s="2002">
        <f>(T60+T62)/2</f>
        <v>1.0665</v>
      </c>
      <c r="U61" s="358"/>
      <c r="V61" s="358"/>
      <c r="W61" s="358"/>
      <c r="X61" s="358"/>
      <c r="Y61" s="358"/>
      <c r="Z61" s="1015"/>
      <c r="AA61" s="1016"/>
      <c r="AB61" s="1017"/>
      <c r="AC61" s="1017"/>
      <c r="AD61" s="1021"/>
      <c r="AE61" s="1021"/>
      <c r="AF61" s="913"/>
      <c r="AG61" s="913"/>
      <c r="AH61" s="913"/>
      <c r="AI61" s="913"/>
      <c r="AJ61" s="915"/>
      <c r="AK61" s="915"/>
      <c r="AL61" s="915"/>
      <c r="AM61" s="915"/>
      <c r="AN61" s="915"/>
      <c r="AO61" s="915"/>
      <c r="AP61" s="915"/>
    </row>
    <row r="62" spans="1:42" ht="16.5" customHeight="1">
      <c r="A62" s="344"/>
      <c r="B62" s="5678"/>
      <c r="C62" s="5679"/>
      <c r="D62" s="5679"/>
      <c r="E62" s="5680"/>
      <c r="F62" s="3374"/>
      <c r="G62" s="5541" t="s">
        <v>796</v>
      </c>
      <c r="H62" s="5542"/>
      <c r="I62" s="5510" t="str">
        <f>I54*'Beer Data Sheet'!$T$16/$H$4&amp;" EBU"</f>
        <v>0 EBU</v>
      </c>
      <c r="J62" s="5510"/>
      <c r="K62" s="5510"/>
      <c r="L62" s="5510" t="str">
        <f>L54*'Beer Data Sheet'!$T$16/$H$4&amp;" EBU"</f>
        <v>0 EBU</v>
      </c>
      <c r="M62" s="5510"/>
      <c r="N62" s="5510"/>
      <c r="O62" s="5510" t="str">
        <f>O54*'Beer Data Sheet'!$T$16/$H$4&amp;" EBU"</f>
        <v>0 EBU</v>
      </c>
      <c r="P62" s="5510"/>
      <c r="Q62" s="5511"/>
      <c r="R62" s="3076"/>
      <c r="S62" s="2002">
        <v>14</v>
      </c>
      <c r="T62" s="2006">
        <v>1.05</v>
      </c>
      <c r="U62" s="358"/>
      <c r="V62" s="913"/>
      <c r="W62" s="358"/>
      <c r="X62" s="358"/>
      <c r="Y62" s="358"/>
      <c r="Z62" s="358"/>
      <c r="AA62" s="1017"/>
      <c r="AB62" s="1022"/>
      <c r="AC62" s="1023"/>
      <c r="AD62" s="1024"/>
      <c r="AE62" s="1025"/>
      <c r="AF62" s="1024"/>
      <c r="AG62" s="1024"/>
      <c r="AH62" s="1025"/>
      <c r="AI62" s="1024"/>
      <c r="AJ62" s="915"/>
      <c r="AK62" s="915"/>
      <c r="AL62" s="915"/>
      <c r="AM62" s="915"/>
      <c r="AN62" s="915"/>
      <c r="AO62" s="915"/>
      <c r="AP62" s="915"/>
    </row>
    <row r="63" spans="1:42" ht="16.5" customHeight="1">
      <c r="A63" s="344"/>
      <c r="B63" s="5678"/>
      <c r="C63" s="5679"/>
      <c r="D63" s="5679"/>
      <c r="E63" s="5680"/>
      <c r="F63" s="3374"/>
      <c r="G63" s="5512" t="s">
        <v>171</v>
      </c>
      <c r="H63" s="5513"/>
      <c r="I63" s="3048">
        <f>I56-0.001*$AA$55</f>
        <v>10.68</v>
      </c>
      <c r="J63" s="3097" t="str">
        <f>FIXED((SUM(I61:K61)+FIXED((I54*'Beer Data Sheet'!$T$16/$H$4))),1)&amp;" EBU"</f>
        <v>30.6 EBU</v>
      </c>
      <c r="K63" s="3098"/>
      <c r="L63" s="3048">
        <f>L56-0.001*$AD$55</f>
        <v>6.43</v>
      </c>
      <c r="M63" s="3099" t="str">
        <f>FIXED((SUM(L61:N61)+FIXED((L54*'Beer Data Sheet'!$T$16/$H$4))),1)&amp;" EBU"</f>
        <v>30.7 EBU</v>
      </c>
      <c r="N63" s="3100"/>
      <c r="O63" s="3101">
        <f>O56-0.001*$AG$55</f>
        <v>3.4580000000000002</v>
      </c>
      <c r="P63" s="3102" t="str">
        <f>FIXED((SUM(O61:Q61)+FIXED((O54*'Beer Data Sheet'!$T$16/$H$4))),1)&amp;" EBU"</f>
        <v>30.3 EBU</v>
      </c>
      <c r="Q63" s="3103"/>
      <c r="R63" s="1026"/>
      <c r="S63" s="2002">
        <f>(S62+S64)/2</f>
        <v>14.5</v>
      </c>
      <c r="T63" s="2002">
        <f>(T62+T64)/2</f>
        <v>1.034</v>
      </c>
      <c r="U63" s="358"/>
      <c r="V63" s="913"/>
      <c r="W63" s="358"/>
      <c r="X63" s="358"/>
      <c r="Y63" s="358"/>
      <c r="Z63" s="358"/>
      <c r="AA63" s="913"/>
      <c r="AB63" s="1027"/>
      <c r="AC63" s="1027"/>
      <c r="AD63" s="576"/>
      <c r="AE63" s="1027"/>
      <c r="AF63" s="576"/>
      <c r="AG63" s="576"/>
      <c r="AH63" s="535"/>
      <c r="AI63" s="1028"/>
      <c r="AJ63" s="915"/>
      <c r="AK63" s="915"/>
      <c r="AL63" s="915"/>
      <c r="AM63" s="915"/>
      <c r="AN63" s="915"/>
      <c r="AO63" s="915"/>
      <c r="AP63" s="915"/>
    </row>
    <row r="64" spans="1:42" ht="18" customHeight="1">
      <c r="A64" s="344"/>
      <c r="B64" s="5678"/>
      <c r="C64" s="5679"/>
      <c r="D64" s="5679"/>
      <c r="E64" s="5680"/>
      <c r="F64" s="3374"/>
      <c r="G64" s="5516" t="s">
        <v>722</v>
      </c>
      <c r="H64" s="5517"/>
      <c r="I64" s="5635" t="str">
        <f>"The boil vol. for Method 1a (any sugars included in the boil) is "&amp;I56&amp;" litres (cell I56) for "&amp;I58&amp;" minutes (cell I58) to give a bitterness of "&amp;J63&amp;" (cell J63)."</f>
        <v>The boil vol. for Method 1a (any sugars included in the boil) is 10.75 litres (cell I56) for 60 minutes (cell I58) to give a bitterness of 30.6 EBU (cell J63).</v>
      </c>
      <c r="J64" s="5635"/>
      <c r="K64" s="5635"/>
      <c r="L64" s="5637" t="str">
        <f>"The boil vol. for Method 1b is "&amp;(L56)&amp;" litres (cell L56) for "&amp;L58&amp;" minutes (cell L58) to give a bitterness of "&amp;M63&amp;" (cell M63).  Any sugars are then added directly to the fermenting vessel &amp; stirred in."</f>
        <v>The boil vol. for Method 1b is 6.5 litres (cell L56) for 60 minutes (cell L58) to give a bitterness of 30.7 EBU (cell M63).  Any sugars are then added directly to the fermenting vessel &amp; stirred in.</v>
      </c>
      <c r="M64" s="5637"/>
      <c r="N64" s="5637"/>
      <c r="O64" s="5625" t="str">
        <f>"Add the hops to "&amp;O56&amp;" litres (cell O56) of boiling water (suggested minimum vol. of "&amp;FIXED(AG55/13,1)&amp;" litres). After the "&amp;O58&amp;" minutes boil (cell O58). Use a sieve ̸ colander capacity of "&amp;FIXED(0.1+AG55/17,1)&amp;" litres minimum to sparge ̸ collect the spent hops."</f>
        <v>Add the hops to 3.5 litres (cell O56) of boiling water (suggested minimum vol. of 3.2 litres). After the 45 minutes boil (cell O58). Use a sieve ̸ colander capacity of 2.6 litres minimum to sparge ̸ collect the spent hops.</v>
      </c>
      <c r="P64" s="5626"/>
      <c r="Q64" s="5626"/>
      <c r="R64" s="1029"/>
      <c r="S64" s="2002">
        <v>15</v>
      </c>
      <c r="T64" s="2006">
        <v>1.018</v>
      </c>
      <c r="U64" s="358"/>
      <c r="V64" s="913"/>
      <c r="W64" s="358"/>
      <c r="X64" s="358"/>
      <c r="Y64" s="358"/>
      <c r="Z64" s="358"/>
      <c r="AA64" s="57"/>
      <c r="AB64" s="58"/>
      <c r="AC64" s="431"/>
      <c r="AD64" s="981"/>
      <c r="AE64" s="981"/>
      <c r="AF64" s="981"/>
      <c r="AG64" s="981"/>
      <c r="AH64" s="981"/>
      <c r="AI64" s="358"/>
      <c r="AJ64" s="915"/>
      <c r="AK64" s="915"/>
      <c r="AL64" s="915"/>
      <c r="AM64" s="915"/>
      <c r="AN64" s="915"/>
      <c r="AO64" s="915"/>
      <c r="AP64" s="915"/>
    </row>
    <row r="65" spans="1:42" ht="18" customHeight="1">
      <c r="A65" s="344"/>
      <c r="B65" s="5678"/>
      <c r="C65" s="5679"/>
      <c r="D65" s="5679"/>
      <c r="E65" s="5680"/>
      <c r="F65" s="3374"/>
      <c r="G65" s="5518"/>
      <c r="H65" s="5519"/>
      <c r="I65" s="5636"/>
      <c r="J65" s="5636"/>
      <c r="K65" s="5636"/>
      <c r="L65" s="5638"/>
      <c r="M65" s="5638"/>
      <c r="N65" s="5638"/>
      <c r="O65" s="5627"/>
      <c r="P65" s="5627"/>
      <c r="Q65" s="5627"/>
      <c r="R65" s="1029"/>
      <c r="S65" s="2002">
        <f>(S64+S66)/2</f>
        <v>15.5</v>
      </c>
      <c r="T65" s="2002">
        <f>(T64+T66)/2</f>
        <v>1.0015000000000001</v>
      </c>
      <c r="U65" s="358"/>
      <c r="V65" s="913"/>
      <c r="W65" s="358"/>
      <c r="X65" s="358"/>
      <c r="Y65" s="358"/>
      <c r="Z65" s="358"/>
      <c r="AA65" s="57"/>
      <c r="AB65" s="58"/>
      <c r="AC65" s="431"/>
      <c r="AD65" s="981"/>
      <c r="AE65" s="981"/>
      <c r="AF65" s="981"/>
      <c r="AG65" s="981"/>
      <c r="AH65" s="981"/>
      <c r="AI65" s="358"/>
      <c r="AJ65" s="915"/>
      <c r="AK65" s="915"/>
      <c r="AL65" s="915"/>
      <c r="AM65" s="915"/>
      <c r="AN65" s="915"/>
      <c r="AO65" s="915"/>
      <c r="AP65" s="915"/>
    </row>
    <row r="66" spans="1:42" ht="18" customHeight="1">
      <c r="A66" s="344"/>
      <c r="B66" s="5678"/>
      <c r="C66" s="5679"/>
      <c r="D66" s="5679"/>
      <c r="E66" s="5680"/>
      <c r="F66" s="3374"/>
      <c r="G66" s="5518"/>
      <c r="H66" s="5519"/>
      <c r="I66" s="5636"/>
      <c r="J66" s="5636"/>
      <c r="K66" s="5636"/>
      <c r="L66" s="5638"/>
      <c r="M66" s="5638"/>
      <c r="N66" s="5638"/>
      <c r="O66" s="5627"/>
      <c r="P66" s="5627"/>
      <c r="Q66" s="5627"/>
      <c r="R66" s="1029"/>
      <c r="S66" s="2002">
        <v>16</v>
      </c>
      <c r="T66" s="2006">
        <v>0.98499999999999999</v>
      </c>
      <c r="U66" s="358"/>
      <c r="V66" s="913"/>
      <c r="W66" s="358"/>
      <c r="X66" s="358"/>
      <c r="Y66" s="358"/>
      <c r="Z66" s="358"/>
      <c r="AA66" s="433"/>
      <c r="AB66" s="433"/>
      <c r="AC66" s="433"/>
      <c r="AD66" s="433"/>
      <c r="AE66" s="433"/>
      <c r="AF66" s="433"/>
      <c r="AG66" s="433"/>
      <c r="AH66" s="433"/>
      <c r="AI66" s="358"/>
      <c r="AJ66" s="915"/>
      <c r="AK66" s="915"/>
      <c r="AL66" s="915"/>
      <c r="AM66" s="915"/>
      <c r="AN66" s="915"/>
      <c r="AO66" s="915"/>
      <c r="AP66" s="915"/>
    </row>
    <row r="67" spans="1:42" ht="18" customHeight="1">
      <c r="A67" s="344"/>
      <c r="B67" s="5678"/>
      <c r="C67" s="5679"/>
      <c r="D67" s="5679"/>
      <c r="E67" s="5680"/>
      <c r="F67" s="3374"/>
      <c r="G67" s="5518"/>
      <c r="H67" s="5519"/>
      <c r="I67" s="5636"/>
      <c r="J67" s="5636"/>
      <c r="K67" s="5636"/>
      <c r="L67" s="5638"/>
      <c r="M67" s="5638"/>
      <c r="N67" s="5638"/>
      <c r="O67" s="5627"/>
      <c r="P67" s="5627"/>
      <c r="Q67" s="5627"/>
      <c r="R67" s="1029"/>
      <c r="S67" s="2002">
        <f>(S66+S68)/2</f>
        <v>16.5</v>
      </c>
      <c r="T67" s="2002">
        <f>(T66+T68)/2</f>
        <v>0.97049999999999992</v>
      </c>
      <c r="U67" s="358"/>
      <c r="V67" s="913"/>
      <c r="W67" s="358"/>
      <c r="X67" s="358"/>
      <c r="Y67" s="358"/>
      <c r="Z67" s="358"/>
      <c r="AA67" s="434"/>
      <c r="AB67" s="434"/>
      <c r="AC67" s="434"/>
      <c r="AD67" s="394"/>
      <c r="AE67" s="394"/>
      <c r="AF67" s="394"/>
      <c r="AG67" s="394"/>
      <c r="AH67" s="394"/>
      <c r="AI67" s="358"/>
      <c r="AJ67" s="915"/>
      <c r="AK67" s="915"/>
      <c r="AL67" s="915"/>
      <c r="AM67" s="915"/>
      <c r="AN67" s="915"/>
      <c r="AO67" s="915"/>
      <c r="AP67" s="915"/>
    </row>
    <row r="68" spans="1:42" ht="18" customHeight="1">
      <c r="A68" s="344"/>
      <c r="B68" s="5678"/>
      <c r="C68" s="5679"/>
      <c r="D68" s="5679"/>
      <c r="E68" s="5680"/>
      <c r="F68" s="3374"/>
      <c r="G68" s="5518"/>
      <c r="H68" s="5519"/>
      <c r="I68" s="5636"/>
      <c r="J68" s="5636"/>
      <c r="K68" s="5636"/>
      <c r="L68" s="5638"/>
      <c r="M68" s="5638"/>
      <c r="N68" s="5638"/>
      <c r="O68" s="5627"/>
      <c r="P68" s="5627"/>
      <c r="Q68" s="5627"/>
      <c r="R68" s="1030"/>
      <c r="S68" s="2002">
        <v>17</v>
      </c>
      <c r="T68" s="2006">
        <v>0.95599999999999996</v>
      </c>
      <c r="U68" s="358"/>
      <c r="V68" s="913"/>
      <c r="W68" s="358"/>
      <c r="X68" s="358"/>
      <c r="Y68" s="358"/>
      <c r="Z68" s="358"/>
      <c r="AA68" s="434"/>
      <c r="AB68" s="434"/>
      <c r="AC68" s="434"/>
      <c r="AD68" s="394"/>
      <c r="AE68" s="394"/>
      <c r="AF68" s="394"/>
      <c r="AG68" s="394"/>
      <c r="AH68" s="394"/>
      <c r="AI68" s="358"/>
      <c r="AJ68" s="915"/>
      <c r="AK68" s="915"/>
      <c r="AL68" s="915"/>
      <c r="AM68" s="915"/>
      <c r="AN68" s="915"/>
      <c r="AO68" s="915"/>
      <c r="AP68" s="915"/>
    </row>
    <row r="69" spans="1:42" ht="18" customHeight="1">
      <c r="A69" s="344"/>
      <c r="B69" s="5678"/>
      <c r="C69" s="5679"/>
      <c r="D69" s="5679"/>
      <c r="E69" s="5680"/>
      <c r="F69" s="3374"/>
      <c r="G69" s="5518"/>
      <c r="H69" s="5519"/>
      <c r="I69" s="5636"/>
      <c r="J69" s="5636"/>
      <c r="K69" s="5636"/>
      <c r="L69" s="5638"/>
      <c r="M69" s="5638"/>
      <c r="N69" s="5638"/>
      <c r="O69" s="5627"/>
      <c r="P69" s="5627"/>
      <c r="Q69" s="5627"/>
      <c r="R69" s="1030"/>
      <c r="S69" s="2002">
        <f>(S68+S70)/2</f>
        <v>17.5</v>
      </c>
      <c r="T69" s="2002">
        <f>(T68+T70)/2</f>
        <v>0.94199999999999995</v>
      </c>
      <c r="U69" s="358"/>
      <c r="V69" s="913"/>
      <c r="W69" s="358"/>
      <c r="X69" s="358"/>
      <c r="Y69" s="358"/>
      <c r="Z69" s="358"/>
      <c r="AA69" s="434"/>
      <c r="AB69" s="434"/>
      <c r="AC69" s="434"/>
      <c r="AD69" s="394"/>
      <c r="AE69" s="394"/>
      <c r="AF69" s="394"/>
      <c r="AG69" s="394"/>
      <c r="AH69" s="394"/>
      <c r="AI69" s="358"/>
      <c r="AJ69" s="915"/>
      <c r="AK69" s="915"/>
      <c r="AL69" s="915"/>
      <c r="AM69" s="915"/>
      <c r="AN69" s="915"/>
      <c r="AO69" s="915"/>
      <c r="AP69" s="915"/>
    </row>
    <row r="70" spans="1:42" ht="16.5" customHeight="1">
      <c r="A70" s="344"/>
      <c r="B70" s="5678"/>
      <c r="C70" s="5679"/>
      <c r="D70" s="5679"/>
      <c r="E70" s="5680"/>
      <c r="F70" s="3374"/>
      <c r="G70" s="5520"/>
      <c r="H70" s="5521"/>
      <c r="I70" s="5628" t="s">
        <v>797</v>
      </c>
      <c r="J70" s="5628"/>
      <c r="K70" s="5628"/>
      <c r="L70" s="5628"/>
      <c r="M70" s="5628"/>
      <c r="N70" s="5628"/>
      <c r="O70" s="5628"/>
      <c r="P70" s="5628"/>
      <c r="Q70" s="5628"/>
      <c r="R70" s="1030"/>
      <c r="S70" s="2002">
        <v>18</v>
      </c>
      <c r="T70" s="2006">
        <v>0.92800000000000005</v>
      </c>
      <c r="U70" s="425"/>
      <c r="V70" s="1017"/>
      <c r="W70" s="425"/>
      <c r="X70" s="425"/>
      <c r="Y70" s="425"/>
      <c r="Z70" s="425"/>
      <c r="AA70" s="3401"/>
      <c r="AB70" s="3401"/>
      <c r="AC70" s="3401"/>
      <c r="AD70" s="3209"/>
      <c r="AE70" s="3209"/>
      <c r="AF70" s="3209"/>
      <c r="AG70" s="3209"/>
      <c r="AH70" s="3209"/>
      <c r="AI70" s="425"/>
      <c r="AJ70" s="915"/>
      <c r="AK70" s="915"/>
      <c r="AL70" s="915"/>
      <c r="AM70" s="915"/>
      <c r="AN70" s="915"/>
      <c r="AO70" s="915"/>
      <c r="AP70" s="915"/>
    </row>
    <row r="71" spans="1:42" ht="16.5" customHeight="1">
      <c r="A71" s="344"/>
      <c r="B71" s="5678"/>
      <c r="C71" s="5679"/>
      <c r="D71" s="5679"/>
      <c r="E71" s="5680"/>
      <c r="F71" s="3375"/>
      <c r="G71" s="3229"/>
      <c r="H71" s="4847" t="s">
        <v>156</v>
      </c>
      <c r="I71" s="4848"/>
      <c r="J71" s="4647" t="s">
        <v>157</v>
      </c>
      <c r="K71" s="4647"/>
      <c r="L71" s="4648" t="s">
        <v>158</v>
      </c>
      <c r="M71" s="4648"/>
      <c r="N71" s="4653" t="s">
        <v>159</v>
      </c>
      <c r="O71" s="4653"/>
      <c r="P71" s="1031"/>
      <c r="Q71" s="1031"/>
      <c r="R71" s="1030"/>
      <c r="S71" s="2002">
        <f>(S70+S72)/2</f>
        <v>18.5</v>
      </c>
      <c r="T71" s="2002">
        <f>(T70+T72)/2</f>
        <v>0.91500000000000004</v>
      </c>
      <c r="U71" s="425"/>
      <c r="V71" s="1017"/>
      <c r="W71" s="425"/>
      <c r="X71" s="425"/>
      <c r="Y71" s="425"/>
      <c r="Z71" s="425"/>
      <c r="AA71" s="3401"/>
      <c r="AB71" s="3401"/>
      <c r="AC71" s="3401"/>
      <c r="AD71" s="3209"/>
      <c r="AE71" s="3209"/>
      <c r="AF71" s="3209"/>
      <c r="AG71" s="3209"/>
      <c r="AH71" s="3209"/>
      <c r="AI71" s="425"/>
      <c r="AJ71" s="915"/>
      <c r="AK71" s="915"/>
      <c r="AL71" s="915"/>
      <c r="AM71" s="915"/>
      <c r="AN71" s="915"/>
      <c r="AO71" s="915"/>
      <c r="AP71" s="915"/>
    </row>
    <row r="72" spans="1:42" ht="16.5" customHeight="1">
      <c r="A72" s="344"/>
      <c r="B72" s="5678"/>
      <c r="C72" s="5679"/>
      <c r="D72" s="5679"/>
      <c r="E72" s="5680"/>
      <c r="F72" s="3375"/>
      <c r="G72" s="915"/>
      <c r="H72" s="3285"/>
      <c r="I72" s="3286"/>
      <c r="J72" s="3288" t="s">
        <v>1791</v>
      </c>
      <c r="K72" s="3289" t="s">
        <v>1792</v>
      </c>
      <c r="L72" s="3287" t="s">
        <v>1791</v>
      </c>
      <c r="M72" s="3291" t="s">
        <v>1792</v>
      </c>
      <c r="N72" s="3288" t="s">
        <v>1791</v>
      </c>
      <c r="O72" s="3290" t="s">
        <v>1792</v>
      </c>
      <c r="P72" s="915"/>
      <c r="Q72" s="915"/>
      <c r="R72" s="3221"/>
      <c r="S72" s="2002">
        <v>19</v>
      </c>
      <c r="T72" s="2006">
        <v>0.90200000000000002</v>
      </c>
      <c r="U72" s="3401"/>
      <c r="V72" s="3401"/>
      <c r="W72" s="3401"/>
      <c r="X72" s="3401"/>
      <c r="Y72" s="3401"/>
      <c r="Z72" s="3401"/>
      <c r="AA72" s="3401"/>
      <c r="AB72" s="3401"/>
      <c r="AC72" s="3401"/>
      <c r="AD72" s="3209"/>
      <c r="AE72" s="3209"/>
      <c r="AF72" s="3209"/>
      <c r="AG72" s="3209"/>
      <c r="AH72" s="3209"/>
      <c r="AI72" s="425"/>
      <c r="AJ72" s="1010"/>
      <c r="AK72" s="1010"/>
      <c r="AL72" s="1010"/>
      <c r="AM72" s="1010"/>
      <c r="AN72" s="1010"/>
      <c r="AO72" s="1010"/>
      <c r="AP72" s="915"/>
    </row>
    <row r="73" spans="1:42" ht="16.5" customHeight="1">
      <c r="A73" s="344"/>
      <c r="B73" s="5678"/>
      <c r="C73" s="5679"/>
      <c r="D73" s="5679"/>
      <c r="E73" s="5680"/>
      <c r="F73" s="3375"/>
      <c r="G73" s="915"/>
      <c r="H73" s="5609" t="s">
        <v>161</v>
      </c>
      <c r="I73" s="5610"/>
      <c r="J73" s="3814">
        <v>10</v>
      </c>
      <c r="K73" s="3815">
        <v>0</v>
      </c>
      <c r="L73" s="3816">
        <f>J73</f>
        <v>10</v>
      </c>
      <c r="M73" s="3817">
        <f>K73</f>
        <v>0</v>
      </c>
      <c r="N73" s="3818">
        <f>J73</f>
        <v>10</v>
      </c>
      <c r="O73" s="3815">
        <f>K73</f>
        <v>0</v>
      </c>
      <c r="P73" s="915"/>
      <c r="Q73" s="915"/>
      <c r="R73" s="1032"/>
      <c r="S73" s="2002">
        <f>(S72+S74)/2</f>
        <v>19.5</v>
      </c>
      <c r="T73" s="2002">
        <f>(T72+T74)/2</f>
        <v>0.88949999999999996</v>
      </c>
      <c r="U73" s="425"/>
      <c r="V73" s="3402">
        <f>J73*60+K73</f>
        <v>600</v>
      </c>
      <c r="W73" s="3403">
        <f>L73*60+M73</f>
        <v>600</v>
      </c>
      <c r="X73" s="3404">
        <f>N73*60+O73</f>
        <v>600</v>
      </c>
      <c r="Y73" s="425"/>
      <c r="Z73" s="425"/>
      <c r="AA73" s="3401"/>
      <c r="AB73" s="3401"/>
      <c r="AC73" s="3401"/>
      <c r="AD73" s="3209"/>
      <c r="AE73" s="3209"/>
      <c r="AF73" s="3209"/>
      <c r="AG73" s="3209"/>
      <c r="AH73" s="3209"/>
      <c r="AI73" s="425"/>
      <c r="AJ73" s="1010"/>
      <c r="AK73" s="1010"/>
      <c r="AL73" s="1010"/>
      <c r="AM73" s="1010"/>
      <c r="AN73" s="1010"/>
      <c r="AO73" s="1010"/>
      <c r="AP73" s="915"/>
    </row>
    <row r="74" spans="1:42" ht="16.5" customHeight="1">
      <c r="A74" s="344"/>
      <c r="B74" s="5678"/>
      <c r="C74" s="5679"/>
      <c r="D74" s="5679"/>
      <c r="E74" s="5680"/>
      <c r="F74" s="3375"/>
      <c r="G74" s="915"/>
      <c r="H74" s="5611" t="s">
        <v>164</v>
      </c>
      <c r="I74" s="5612"/>
      <c r="J74" s="3210">
        <f>INT(V74/60)</f>
        <v>10</v>
      </c>
      <c r="K74" s="3230">
        <f>60*(MOD(V74/60,60)-J74)</f>
        <v>30</v>
      </c>
      <c r="L74" s="3231">
        <f>INT(W74/60)</f>
        <v>10</v>
      </c>
      <c r="M74" s="548">
        <f>60*(MOD(W74/60,60)-L74)</f>
        <v>30</v>
      </c>
      <c r="N74" s="3231">
        <f>INT(X74/60)</f>
        <v>10</v>
      </c>
      <c r="O74" s="3230">
        <f>60*(MOD(X74/60,60)-N74)</f>
        <v>15</v>
      </c>
      <c r="P74" s="915"/>
      <c r="Q74" s="915"/>
      <c r="R74" s="3221"/>
      <c r="S74" s="2002">
        <v>20</v>
      </c>
      <c r="T74" s="2006">
        <v>0.877</v>
      </c>
      <c r="U74" s="425"/>
      <c r="V74" s="3405">
        <f>V76-J58</f>
        <v>630</v>
      </c>
      <c r="W74" s="3406">
        <f>W76-M58</f>
        <v>630</v>
      </c>
      <c r="X74" s="3407">
        <f>X76-P58</f>
        <v>615</v>
      </c>
      <c r="Y74" s="425"/>
      <c r="Z74" s="425"/>
      <c r="AA74" s="3401"/>
      <c r="AB74" s="3401"/>
      <c r="AC74" s="3401"/>
      <c r="AD74" s="3209"/>
      <c r="AE74" s="3209"/>
      <c r="AF74" s="3209"/>
      <c r="AG74" s="3209"/>
      <c r="AH74" s="3209"/>
      <c r="AI74" s="425"/>
      <c r="AJ74" s="1010"/>
      <c r="AK74" s="1010"/>
      <c r="AL74" s="1010"/>
      <c r="AM74" s="1010"/>
      <c r="AN74" s="1010"/>
      <c r="AO74" s="1010"/>
      <c r="AP74" s="915"/>
    </row>
    <row r="75" spans="1:42" ht="16.5" customHeight="1">
      <c r="A75" s="344"/>
      <c r="B75" s="5678"/>
      <c r="C75" s="5679"/>
      <c r="D75" s="5679"/>
      <c r="E75" s="5680"/>
      <c r="F75" s="3375"/>
      <c r="G75" s="915"/>
      <c r="H75" s="5611" t="s">
        <v>166</v>
      </c>
      <c r="I75" s="5612"/>
      <c r="J75" s="3211">
        <f>INT(V75/60)</f>
        <v>10</v>
      </c>
      <c r="K75" s="3232">
        <f>60*(MOD(V75/60,60)-J75)</f>
        <v>45</v>
      </c>
      <c r="L75" s="3233">
        <f>INT(W75/60)</f>
        <v>10</v>
      </c>
      <c r="M75" s="2839">
        <f>60*(MOD(W75/60,60)-L75)</f>
        <v>45</v>
      </c>
      <c r="N75" s="3233">
        <f>INT(X75/60)</f>
        <v>10</v>
      </c>
      <c r="O75" s="3232">
        <f>60*(MOD(X75/60,60)-N75)</f>
        <v>30</v>
      </c>
      <c r="P75" s="915"/>
      <c r="Q75" s="915"/>
      <c r="R75" s="1813"/>
      <c r="S75" s="2002">
        <f>(S74+S76)/2</f>
        <v>20.5</v>
      </c>
      <c r="T75" s="2002">
        <f>(T74+T76)/2</f>
        <v>0.86450000000000005</v>
      </c>
      <c r="U75" s="425"/>
      <c r="V75" s="3405">
        <f>V76-K58</f>
        <v>645</v>
      </c>
      <c r="W75" s="3406">
        <f>W76-N58</f>
        <v>645</v>
      </c>
      <c r="X75" s="3407">
        <f>X76-Q58</f>
        <v>630</v>
      </c>
      <c r="Y75" s="425"/>
      <c r="Z75" s="425"/>
      <c r="AA75" s="3401"/>
      <c r="AB75" s="3401"/>
      <c r="AC75" s="3401"/>
      <c r="AD75" s="3209"/>
      <c r="AE75" s="3209"/>
      <c r="AF75" s="3209"/>
      <c r="AG75" s="3209"/>
      <c r="AH75" s="3209"/>
      <c r="AI75" s="425"/>
      <c r="AJ75" s="1033"/>
      <c r="AK75" s="1010"/>
      <c r="AL75" s="1010"/>
      <c r="AM75" s="1010"/>
      <c r="AN75" s="1010"/>
      <c r="AO75" s="1010"/>
      <c r="AP75" s="915"/>
    </row>
    <row r="76" spans="1:42" ht="16.5" customHeight="1">
      <c r="A76" s="344"/>
      <c r="B76" s="5678"/>
      <c r="C76" s="5679"/>
      <c r="D76" s="5679"/>
      <c r="E76" s="5680"/>
      <c r="F76" s="3375"/>
      <c r="G76" s="915"/>
      <c r="H76" s="5613" t="s">
        <v>170</v>
      </c>
      <c r="I76" s="5614"/>
      <c r="J76" s="3223">
        <f>INT(V76/60)</f>
        <v>11</v>
      </c>
      <c r="K76" s="3234">
        <f>60*(MOD(V76/60,60)-J76)</f>
        <v>0</v>
      </c>
      <c r="L76" s="3235">
        <f>INT(W76/60)</f>
        <v>11</v>
      </c>
      <c r="M76" s="3224">
        <f>60*(MOD(W76/60,60)-L76)</f>
        <v>0</v>
      </c>
      <c r="N76" s="3235">
        <f>INT(X76/60)</f>
        <v>10</v>
      </c>
      <c r="O76" s="3234">
        <f>60*(MOD(X76/60,60)-N76)</f>
        <v>45</v>
      </c>
      <c r="P76" s="915"/>
      <c r="Q76" s="915"/>
      <c r="R76" s="3221"/>
      <c r="S76" s="2002">
        <v>21</v>
      </c>
      <c r="T76" s="2006">
        <v>0.85199999999999998</v>
      </c>
      <c r="U76" s="425"/>
      <c r="V76" s="3405">
        <f>V73+I58</f>
        <v>660</v>
      </c>
      <c r="W76" s="3406">
        <f>W73+L58</f>
        <v>660</v>
      </c>
      <c r="X76" s="3407">
        <f>X73+O58</f>
        <v>645</v>
      </c>
      <c r="Y76" s="425"/>
      <c r="Z76" s="425"/>
      <c r="AA76" s="3401"/>
      <c r="AB76" s="3401"/>
      <c r="AC76" s="3401"/>
      <c r="AD76" s="3209"/>
      <c r="AE76" s="3209"/>
      <c r="AF76" s="3209"/>
      <c r="AG76" s="3209"/>
      <c r="AH76" s="3209"/>
      <c r="AI76" s="425"/>
      <c r="AJ76" s="1010"/>
      <c r="AK76" s="1010"/>
      <c r="AL76" s="1010"/>
      <c r="AM76" s="1010"/>
      <c r="AN76" s="1010"/>
      <c r="AO76" s="1010"/>
      <c r="AP76" s="915"/>
    </row>
    <row r="77" spans="1:42" ht="16.5" customHeight="1">
      <c r="A77" s="344"/>
      <c r="B77" s="5678"/>
      <c r="C77" s="5679"/>
      <c r="D77" s="5679"/>
      <c r="E77" s="5680"/>
      <c r="F77" s="3375"/>
      <c r="G77" s="915"/>
      <c r="H77" s="5615" t="s">
        <v>173</v>
      </c>
      <c r="I77" s="5616"/>
      <c r="J77" s="3225">
        <f>L58</f>
        <v>60</v>
      </c>
      <c r="K77" s="3226" t="s">
        <v>174</v>
      </c>
      <c r="L77" s="3225">
        <f>I58</f>
        <v>60</v>
      </c>
      <c r="M77" s="3227" t="s">
        <v>174</v>
      </c>
      <c r="N77" s="3225">
        <f>O58</f>
        <v>45</v>
      </c>
      <c r="O77" s="3228" t="s">
        <v>174</v>
      </c>
      <c r="P77" s="915"/>
      <c r="Q77" s="915"/>
      <c r="R77" s="362"/>
      <c r="S77" s="2002">
        <f>(S76+S78)/2</f>
        <v>21.5</v>
      </c>
      <c r="T77" s="2002">
        <f>(T76+T78)/2</f>
        <v>0.83949999999999991</v>
      </c>
      <c r="U77" s="425"/>
      <c r="V77" s="5602" t="s">
        <v>795</v>
      </c>
      <c r="W77" s="5603"/>
      <c r="X77" s="5604"/>
      <c r="Y77" s="425"/>
      <c r="Z77" s="425"/>
      <c r="AA77" s="3401"/>
      <c r="AB77" s="3401"/>
      <c r="AC77" s="3401"/>
      <c r="AD77" s="3209"/>
      <c r="AE77" s="3209"/>
      <c r="AF77" s="3209"/>
      <c r="AG77" s="3209"/>
      <c r="AH77" s="3209"/>
      <c r="AI77" s="425"/>
      <c r="AJ77" s="1010"/>
      <c r="AK77" s="915"/>
      <c r="AL77" s="915"/>
      <c r="AM77" s="1010"/>
      <c r="AN77" s="1010"/>
      <c r="AO77" s="1010"/>
      <c r="AP77" s="915"/>
    </row>
    <row r="78" spans="1:42" ht="16.5" customHeight="1">
      <c r="A78" s="344"/>
      <c r="B78" s="5678"/>
      <c r="C78" s="5679"/>
      <c r="D78" s="5679"/>
      <c r="E78" s="5680"/>
      <c r="F78" s="3375"/>
      <c r="G78" s="915"/>
      <c r="H78" s="5351" t="s">
        <v>176</v>
      </c>
      <c r="I78" s="5351"/>
      <c r="J78" s="915"/>
      <c r="K78" s="915"/>
      <c r="L78" s="915"/>
      <c r="M78" s="915"/>
      <c r="N78" s="915"/>
      <c r="O78" s="915"/>
      <c r="P78" s="915"/>
      <c r="Q78" s="915"/>
      <c r="R78" s="2608"/>
      <c r="S78" s="2002">
        <v>22</v>
      </c>
      <c r="T78" s="2006">
        <v>0.82699999999999996</v>
      </c>
      <c r="U78" s="425"/>
      <c r="V78" s="425"/>
      <c r="W78" s="425"/>
      <c r="X78" s="425"/>
      <c r="Y78" s="425"/>
      <c r="Z78" s="425"/>
      <c r="AA78" s="3401"/>
      <c r="AB78" s="3401"/>
      <c r="AC78" s="3401"/>
      <c r="AD78" s="3209"/>
      <c r="AE78" s="3209"/>
      <c r="AF78" s="3209"/>
      <c r="AG78" s="3209"/>
      <c r="AH78" s="3209"/>
      <c r="AI78" s="425"/>
      <c r="AJ78" s="1010"/>
      <c r="AK78" s="915"/>
      <c r="AL78" s="915"/>
      <c r="AM78" s="1010"/>
      <c r="AN78" s="1010"/>
      <c r="AO78" s="1010"/>
      <c r="AP78" s="915"/>
    </row>
    <row r="79" spans="1:42" ht="16.5" customHeight="1">
      <c r="A79" s="344"/>
      <c r="B79" s="5678"/>
      <c r="C79" s="5679"/>
      <c r="D79" s="5679"/>
      <c r="E79" s="5680"/>
      <c r="F79" s="3375"/>
      <c r="G79" s="1813"/>
      <c r="H79" s="915"/>
      <c r="I79" s="915"/>
      <c r="J79" s="915"/>
      <c r="K79" s="915"/>
      <c r="L79" s="915"/>
      <c r="M79" s="915"/>
      <c r="N79" s="915"/>
      <c r="O79" s="915"/>
      <c r="P79" s="915"/>
      <c r="Q79" s="915"/>
      <c r="R79" s="915"/>
      <c r="S79" s="2002">
        <f>(S78+S80)/2</f>
        <v>22.5</v>
      </c>
      <c r="T79" s="2002">
        <f>(T78+T80)/2</f>
        <v>0.8145</v>
      </c>
      <c r="U79" s="425"/>
      <c r="V79" s="1017"/>
      <c r="W79" s="1017"/>
      <c r="X79" s="1017"/>
      <c r="Y79" s="425"/>
      <c r="Z79" s="425"/>
      <c r="AA79" s="3401"/>
      <c r="AB79" s="3401"/>
      <c r="AC79" s="3401"/>
      <c r="AD79" s="3209"/>
      <c r="AE79" s="3209"/>
      <c r="AF79" s="3209"/>
      <c r="AG79" s="3209"/>
      <c r="AH79" s="3209"/>
      <c r="AI79" s="425"/>
      <c r="AJ79" s="1010"/>
      <c r="AK79" s="915"/>
      <c r="AL79" s="915"/>
      <c r="AM79" s="1010"/>
      <c r="AN79" s="1010"/>
      <c r="AO79" s="1010"/>
      <c r="AP79" s="915"/>
    </row>
    <row r="80" spans="1:42" ht="16.5" customHeight="1">
      <c r="A80" s="344"/>
      <c r="B80" s="5678"/>
      <c r="C80" s="5679"/>
      <c r="D80" s="5679"/>
      <c r="E80" s="5680"/>
      <c r="F80" s="3375"/>
      <c r="G80" s="3237" t="s">
        <v>225</v>
      </c>
      <c r="H80" s="3236">
        <v>0.04</v>
      </c>
      <c r="I80" s="1044">
        <v>4.1500000000000004</v>
      </c>
      <c r="J80" s="5617" t="s">
        <v>226</v>
      </c>
      <c r="K80" s="5618"/>
      <c r="L80" s="5621" t="s">
        <v>224</v>
      </c>
      <c r="M80" s="5622"/>
      <c r="N80" s="5622"/>
      <c r="O80" s="5622"/>
      <c r="P80" s="1032"/>
      <c r="Q80" s="1032"/>
      <c r="R80" s="2608"/>
      <c r="S80" s="2002">
        <v>23</v>
      </c>
      <c r="T80" s="2006">
        <v>0.80200000000000005</v>
      </c>
      <c r="U80" s="425"/>
      <c r="V80" s="1017"/>
      <c r="W80" s="1017"/>
      <c r="X80" s="1017"/>
      <c r="Y80" s="425"/>
      <c r="Z80" s="425"/>
      <c r="AA80" s="3401"/>
      <c r="AB80" s="3401"/>
      <c r="AC80" s="3401"/>
      <c r="AD80" s="3209"/>
      <c r="AE80" s="3209"/>
      <c r="AF80" s="3209"/>
      <c r="AG80" s="3209"/>
      <c r="AH80" s="3209"/>
      <c r="AI80" s="425"/>
      <c r="AJ80" s="1010"/>
      <c r="AK80" s="915"/>
      <c r="AL80" s="915"/>
      <c r="AM80" s="1010"/>
      <c r="AN80" s="1010"/>
      <c r="AO80" s="1010"/>
      <c r="AP80" s="915"/>
    </row>
    <row r="81" spans="1:42" ht="16.5" customHeight="1">
      <c r="A81" s="344"/>
      <c r="B81" s="5678"/>
      <c r="C81" s="5679"/>
      <c r="D81" s="5679"/>
      <c r="E81" s="5680"/>
      <c r="F81" s="3375"/>
      <c r="G81" s="1813"/>
      <c r="H81" s="3832">
        <v>0.04</v>
      </c>
      <c r="I81" s="3833">
        <v>4.1500000000000004</v>
      </c>
      <c r="J81" s="5619" t="s">
        <v>227</v>
      </c>
      <c r="K81" s="5620"/>
      <c r="L81" s="5621"/>
      <c r="M81" s="5622"/>
      <c r="N81" s="5622"/>
      <c r="O81" s="5622"/>
      <c r="P81" s="915"/>
      <c r="Q81" s="915"/>
      <c r="R81" s="2609"/>
      <c r="S81" s="2002">
        <f>(S80+S82)/2</f>
        <v>23.5</v>
      </c>
      <c r="T81" s="2002">
        <f>(T80+T82)/2</f>
        <v>0.79150000000000009</v>
      </c>
      <c r="U81" s="425"/>
      <c r="V81" s="1017"/>
      <c r="W81" s="1017"/>
      <c r="X81" s="1017"/>
      <c r="Y81" s="1017"/>
      <c r="Z81" s="1017"/>
      <c r="AA81" s="1017"/>
      <c r="AB81" s="1017"/>
      <c r="AC81" s="1017"/>
      <c r="AD81" s="1017"/>
      <c r="AE81" s="1017"/>
      <c r="AF81" s="1017"/>
      <c r="AG81" s="3209"/>
      <c r="AH81" s="3209"/>
      <c r="AI81" s="425"/>
      <c r="AJ81" s="1010"/>
      <c r="AK81" s="3541"/>
      <c r="AL81" s="915"/>
      <c r="AM81" s="1010"/>
      <c r="AN81" s="1010"/>
      <c r="AO81" s="1010"/>
      <c r="AP81" s="915"/>
    </row>
    <row r="82" spans="1:42" ht="16.5" customHeight="1">
      <c r="A82" s="344"/>
      <c r="B82" s="5678"/>
      <c r="C82" s="5679"/>
      <c r="D82" s="5679"/>
      <c r="E82" s="5680"/>
      <c r="F82" s="3375"/>
      <c r="G82" s="915"/>
      <c r="H82" s="915"/>
      <c r="I82" s="915"/>
      <c r="J82" s="915"/>
      <c r="K82" s="915"/>
      <c r="L82" s="915"/>
      <c r="M82" s="915"/>
      <c r="N82" s="915"/>
      <c r="O82" s="915"/>
      <c r="P82" s="915"/>
      <c r="Q82" s="915"/>
      <c r="R82" s="2609"/>
      <c r="S82" s="2002">
        <v>24</v>
      </c>
      <c r="T82" s="2006">
        <v>0.78100000000000003</v>
      </c>
      <c r="U82" s="425"/>
      <c r="V82" s="1017"/>
      <c r="W82" s="1017"/>
      <c r="X82" s="1017"/>
      <c r="Y82" s="1017"/>
      <c r="Z82" s="1017"/>
      <c r="AA82" s="1017"/>
      <c r="AB82" s="1017"/>
      <c r="AC82" s="1017"/>
      <c r="AD82" s="1017"/>
      <c r="AE82" s="1017"/>
      <c r="AF82" s="1017"/>
      <c r="AG82" s="3209"/>
      <c r="AH82" s="3209"/>
      <c r="AI82" s="425"/>
      <c r="AJ82" s="1010"/>
      <c r="AK82" s="915"/>
      <c r="AL82" s="915"/>
      <c r="AM82" s="1010"/>
      <c r="AN82" s="1010"/>
      <c r="AO82" s="1010"/>
      <c r="AP82" s="915"/>
    </row>
    <row r="83" spans="1:42" ht="16.5" customHeight="1">
      <c r="A83" s="344"/>
      <c r="B83" s="5678"/>
      <c r="C83" s="5679"/>
      <c r="D83" s="5679"/>
      <c r="E83" s="5680"/>
      <c r="F83" s="3375"/>
      <c r="G83" s="915"/>
      <c r="H83" s="888">
        <v>1</v>
      </c>
      <c r="I83" s="4687" t="s">
        <v>228</v>
      </c>
      <c r="J83" s="4689"/>
      <c r="K83" s="556">
        <v>23</v>
      </c>
      <c r="L83" s="5631" t="s">
        <v>749</v>
      </c>
      <c r="M83" s="5632"/>
      <c r="N83" s="1894" t="str">
        <f>FIXED((H83*'Beer Data Sheet'!$T$16/K83),1)&amp;" EBU"</f>
        <v>3.0 EBU</v>
      </c>
      <c r="O83" s="915"/>
      <c r="P83" s="915"/>
      <c r="Q83" s="915"/>
      <c r="R83" s="2562"/>
      <c r="S83" s="2002">
        <f>(S82+S84)/2</f>
        <v>24.5</v>
      </c>
      <c r="T83" s="2002">
        <f>(T82+T84)/2</f>
        <v>0.77</v>
      </c>
      <c r="U83" s="425"/>
      <c r="V83" s="3408"/>
      <c r="W83" s="1017"/>
      <c r="X83" s="1017"/>
      <c r="Y83" s="1017"/>
      <c r="Z83" s="1017"/>
      <c r="AA83" s="1017"/>
      <c r="AB83" s="1017"/>
      <c r="AC83" s="1017"/>
      <c r="AD83" s="1017"/>
      <c r="AE83" s="1017"/>
      <c r="AF83" s="1017"/>
      <c r="AG83" s="1017"/>
      <c r="AH83" s="3209"/>
      <c r="AI83" s="425"/>
      <c r="AJ83" s="915"/>
      <c r="AK83" s="915"/>
      <c r="AL83" s="915"/>
      <c r="AM83" s="1010"/>
      <c r="AN83" s="1010"/>
      <c r="AO83" s="1010"/>
      <c r="AP83" s="915"/>
    </row>
    <row r="84" spans="1:42" ht="16.5" customHeight="1">
      <c r="A84" s="344"/>
      <c r="B84" s="5678"/>
      <c r="C84" s="5679"/>
      <c r="D84" s="5679"/>
      <c r="E84" s="5680"/>
      <c r="F84" s="3375"/>
      <c r="G84" s="915"/>
      <c r="H84" s="363"/>
      <c r="I84" s="915"/>
      <c r="J84" s="915"/>
      <c r="K84" s="915"/>
      <c r="L84" s="915"/>
      <c r="M84" s="3219"/>
      <c r="N84" s="915"/>
      <c r="O84" s="915"/>
      <c r="P84" s="915"/>
      <c r="Q84" s="915"/>
      <c r="R84" s="344"/>
      <c r="S84" s="2002">
        <v>25</v>
      </c>
      <c r="T84" s="2006">
        <v>0.75900000000000001</v>
      </c>
      <c r="U84" s="425"/>
      <c r="V84" s="3408"/>
      <c r="W84" s="3408"/>
      <c r="X84" s="3408"/>
      <c r="Y84" s="1017"/>
      <c r="Z84" s="1017"/>
      <c r="AA84" s="1017"/>
      <c r="AB84" s="1017"/>
      <c r="AC84" s="1017"/>
      <c r="AD84" s="1017"/>
      <c r="AE84" s="1017"/>
      <c r="AF84" s="1017"/>
      <c r="AG84" s="1017"/>
      <c r="AH84" s="3209"/>
      <c r="AI84" s="425"/>
      <c r="AJ84" s="344"/>
      <c r="AK84" s="915"/>
      <c r="AL84" s="915"/>
      <c r="AM84" s="1010"/>
      <c r="AN84" s="1010"/>
      <c r="AO84" s="1010"/>
      <c r="AP84" s="915"/>
    </row>
    <row r="85" spans="1:42" ht="16.5" customHeight="1">
      <c r="A85" s="344"/>
      <c r="B85" s="5678"/>
      <c r="C85" s="5679"/>
      <c r="D85" s="5679"/>
      <c r="E85" s="5680"/>
      <c r="F85" s="3375"/>
      <c r="G85" s="5629" t="s">
        <v>798</v>
      </c>
      <c r="H85" s="5629"/>
      <c r="I85" s="5629"/>
      <c r="J85" s="5629"/>
      <c r="K85" s="5629"/>
      <c r="L85" s="5629"/>
      <c r="M85" s="5629"/>
      <c r="N85" s="5629"/>
      <c r="O85" s="5629"/>
      <c r="P85" s="5629"/>
      <c r="Q85" s="5629"/>
      <c r="R85" s="344"/>
      <c r="S85" s="2002">
        <f>(S84+S86)/2</f>
        <v>25.5</v>
      </c>
      <c r="T85" s="2002">
        <f>(T84+T86)/2</f>
        <v>0.74849999999999994</v>
      </c>
      <c r="U85" s="425"/>
      <c r="V85" s="3408"/>
      <c r="W85" s="1017"/>
      <c r="X85" s="1017"/>
      <c r="Y85" s="1017"/>
      <c r="Z85" s="1017"/>
      <c r="AA85" s="1017"/>
      <c r="AB85" s="1017"/>
      <c r="AC85" s="1017"/>
      <c r="AD85" s="1017"/>
      <c r="AE85" s="1017"/>
      <c r="AF85" s="1017"/>
      <c r="AG85" s="1017"/>
      <c r="AH85" s="926"/>
      <c r="AI85" s="425"/>
      <c r="AJ85" s="915"/>
      <c r="AK85" s="915"/>
      <c r="AL85" s="915"/>
      <c r="AM85" s="915"/>
      <c r="AN85" s="915"/>
      <c r="AO85" s="915"/>
      <c r="AP85" s="915"/>
    </row>
    <row r="86" spans="1:42" ht="16.5" customHeight="1">
      <c r="A86" s="344"/>
      <c r="B86" s="5678"/>
      <c r="C86" s="5679"/>
      <c r="D86" s="5679"/>
      <c r="E86" s="5680"/>
      <c r="F86" s="3375"/>
      <c r="G86" s="5629"/>
      <c r="H86" s="5629"/>
      <c r="I86" s="5629"/>
      <c r="J86" s="5629"/>
      <c r="K86" s="5629"/>
      <c r="L86" s="5629"/>
      <c r="M86" s="5629"/>
      <c r="N86" s="5629"/>
      <c r="O86" s="5629"/>
      <c r="P86" s="5629"/>
      <c r="Q86" s="5629"/>
      <c r="R86" s="921"/>
      <c r="S86" s="2002">
        <v>26</v>
      </c>
      <c r="T86" s="2006">
        <v>0.73799999999999999</v>
      </c>
      <c r="U86" s="425"/>
      <c r="V86" s="3408"/>
      <c r="W86" s="1017"/>
      <c r="X86" s="1017"/>
      <c r="Y86" s="1017"/>
      <c r="Z86" s="1017"/>
      <c r="AA86" s="1017"/>
      <c r="AB86" s="1017"/>
      <c r="AC86" s="1017"/>
      <c r="AD86" s="1017"/>
      <c r="AE86" s="1017"/>
      <c r="AF86" s="1017"/>
      <c r="AG86" s="1017"/>
      <c r="AH86" s="1015"/>
      <c r="AI86" s="425"/>
      <c r="AJ86" s="915"/>
      <c r="AK86" s="915"/>
      <c r="AL86" s="915"/>
      <c r="AM86" s="1010"/>
      <c r="AN86" s="1010"/>
      <c r="AO86" s="1010"/>
      <c r="AP86" s="915"/>
    </row>
    <row r="87" spans="1:42" ht="16.5" customHeight="1">
      <c r="A87" s="344"/>
      <c r="B87" s="5678"/>
      <c r="C87" s="5679"/>
      <c r="D87" s="5679"/>
      <c r="E87" s="5680"/>
      <c r="F87" s="3375"/>
      <c r="G87" s="5630" t="s">
        <v>799</v>
      </c>
      <c r="H87" s="5630"/>
      <c r="I87" s="5630"/>
      <c r="J87" s="5630"/>
      <c r="K87" s="5630"/>
      <c r="L87" s="5630"/>
      <c r="M87" s="5630"/>
      <c r="N87" s="5630"/>
      <c r="O87" s="5630"/>
      <c r="P87" s="5630"/>
      <c r="Q87" s="5630"/>
      <c r="R87" s="921"/>
      <c r="S87" s="2002">
        <v>27</v>
      </c>
      <c r="T87" s="2006">
        <v>0.71799999999999997</v>
      </c>
      <c r="U87" s="425"/>
      <c r="V87" s="3408"/>
      <c r="W87" s="1017"/>
      <c r="X87" s="1017"/>
      <c r="Y87" s="1017"/>
      <c r="Z87" s="1017"/>
      <c r="AA87" s="1017"/>
      <c r="AB87" s="1017"/>
      <c r="AC87" s="1017"/>
      <c r="AD87" s="1017"/>
      <c r="AE87" s="1017"/>
      <c r="AF87" s="3409"/>
      <c r="AG87" s="3410"/>
      <c r="AH87" s="1015"/>
      <c r="AI87" s="425"/>
      <c r="AJ87" s="915"/>
      <c r="AK87" s="915"/>
      <c r="AL87" s="915"/>
      <c r="AM87" s="915"/>
      <c r="AN87" s="915"/>
      <c r="AO87" s="915"/>
      <c r="AP87" s="915"/>
    </row>
    <row r="88" spans="1:42" ht="16.5" customHeight="1">
      <c r="A88" s="344"/>
      <c r="B88" s="5678"/>
      <c r="C88" s="5679"/>
      <c r="D88" s="5679"/>
      <c r="E88" s="5680"/>
      <c r="F88" s="3375"/>
      <c r="G88" s="5630"/>
      <c r="H88" s="5630"/>
      <c r="I88" s="5630"/>
      <c r="J88" s="5630"/>
      <c r="K88" s="5630"/>
      <c r="L88" s="5630"/>
      <c r="M88" s="5630"/>
      <c r="N88" s="5630"/>
      <c r="O88" s="5630"/>
      <c r="P88" s="5630"/>
      <c r="Q88" s="5630"/>
      <c r="R88" s="1036"/>
      <c r="S88" s="2002">
        <v>28</v>
      </c>
      <c r="T88" s="2006">
        <v>0.69899999999999995</v>
      </c>
      <c r="U88" s="425"/>
      <c r="V88" s="3408"/>
      <c r="W88" s="1017"/>
      <c r="X88" s="1017"/>
      <c r="Y88" s="1017"/>
      <c r="Z88" s="1017"/>
      <c r="AA88" s="1017"/>
      <c r="AB88" s="1017"/>
      <c r="AC88" s="3410"/>
      <c r="AD88" s="3410"/>
      <c r="AE88" s="3410"/>
      <c r="AF88" s="3410"/>
      <c r="AG88" s="3410"/>
      <c r="AH88" s="1015"/>
      <c r="AI88" s="425"/>
      <c r="AJ88" s="915"/>
      <c r="AK88" s="915"/>
      <c r="AL88" s="915"/>
      <c r="AM88" s="1010"/>
      <c r="AN88" s="1010"/>
      <c r="AO88" s="1010"/>
      <c r="AP88" s="915"/>
    </row>
    <row r="89" spans="1:42" ht="16.5" customHeight="1">
      <c r="A89" s="344"/>
      <c r="B89" s="5678"/>
      <c r="C89" s="5679"/>
      <c r="D89" s="5679"/>
      <c r="E89" s="5680"/>
      <c r="F89" s="3375"/>
      <c r="G89" s="915"/>
      <c r="H89" s="915"/>
      <c r="I89" s="915"/>
      <c r="J89" s="915"/>
      <c r="K89" s="915"/>
      <c r="L89" s="915"/>
      <c r="M89" s="915"/>
      <c r="N89" s="915"/>
      <c r="O89" s="915"/>
      <c r="P89" s="915"/>
      <c r="Q89" s="915"/>
      <c r="R89" s="3490"/>
      <c r="S89" s="2002">
        <v>29</v>
      </c>
      <c r="T89" s="2005">
        <v>0.68200000000000005</v>
      </c>
      <c r="U89" s="425"/>
      <c r="V89" s="3408"/>
      <c r="W89" s="1017"/>
      <c r="X89" s="1017"/>
      <c r="Y89" s="1017"/>
      <c r="Z89" s="1017"/>
      <c r="AA89" s="1017"/>
      <c r="AB89" s="1017"/>
      <c r="AC89" s="1017"/>
      <c r="AD89" s="1017"/>
      <c r="AE89" s="1017"/>
      <c r="AF89" s="1017"/>
      <c r="AG89" s="1017"/>
      <c r="AH89" s="1015"/>
      <c r="AI89" s="425"/>
      <c r="AJ89" s="915"/>
      <c r="AK89" s="915"/>
      <c r="AL89" s="915"/>
      <c r="AM89" s="915"/>
      <c r="AN89" s="915"/>
      <c r="AO89" s="915"/>
      <c r="AP89" s="915"/>
    </row>
    <row r="90" spans="1:42" ht="16.5" customHeight="1">
      <c r="A90" s="3517"/>
      <c r="B90" s="5678"/>
      <c r="C90" s="5679"/>
      <c r="D90" s="5679"/>
      <c r="E90" s="5680"/>
      <c r="F90" s="3375"/>
      <c r="G90" s="5605" t="s">
        <v>367</v>
      </c>
      <c r="H90" s="5605"/>
      <c r="I90" s="5605"/>
      <c r="J90" s="1813"/>
      <c r="K90" s="1813"/>
      <c r="L90" s="5607" t="s">
        <v>1762</v>
      </c>
      <c r="M90" s="5607"/>
      <c r="N90" s="5608" t="s">
        <v>1874</v>
      </c>
      <c r="O90" s="5608"/>
      <c r="P90" s="5608"/>
      <c r="Q90" s="5608"/>
      <c r="R90" s="3490"/>
      <c r="S90" s="2003">
        <v>30</v>
      </c>
      <c r="T90" s="2007">
        <v>0.66500000000000004</v>
      </c>
      <c r="U90" s="3411"/>
      <c r="V90" s="3412"/>
      <c r="W90" s="1017"/>
      <c r="X90" s="1017"/>
      <c r="Y90" s="1017"/>
      <c r="Z90" s="1017"/>
      <c r="AA90" s="1017"/>
      <c r="AB90" s="1017"/>
      <c r="AC90" s="1017"/>
      <c r="AD90" s="1017"/>
      <c r="AE90" s="1017"/>
      <c r="AF90" s="1017"/>
      <c r="AG90" s="1017"/>
      <c r="AH90" s="1015"/>
      <c r="AI90" s="425"/>
      <c r="AJ90" s="915"/>
      <c r="AK90" s="915"/>
      <c r="AL90" s="915"/>
      <c r="AM90" s="1010"/>
      <c r="AN90" s="1010"/>
      <c r="AO90" s="1010"/>
      <c r="AP90" s="915"/>
    </row>
    <row r="91" spans="1:42" ht="16.5" customHeight="1">
      <c r="A91" s="3517"/>
      <c r="B91" s="5678"/>
      <c r="C91" s="5679"/>
      <c r="D91" s="5679"/>
      <c r="E91" s="5680"/>
      <c r="F91" s="3375"/>
      <c r="G91" s="3220" t="s">
        <v>800</v>
      </c>
      <c r="H91" s="5623" t="s">
        <v>210</v>
      </c>
      <c r="I91" s="5623"/>
      <c r="J91" s="5623"/>
      <c r="K91" s="5623"/>
      <c r="L91" s="5623"/>
      <c r="M91" s="5623"/>
      <c r="N91" s="5608"/>
      <c r="O91" s="5608"/>
      <c r="P91" s="5608"/>
      <c r="Q91" s="5608"/>
      <c r="R91" s="3490"/>
      <c r="S91" s="913"/>
      <c r="T91" s="913"/>
      <c r="U91" s="3411"/>
      <c r="V91" s="3412"/>
      <c r="W91" s="1017"/>
      <c r="X91" s="1017"/>
      <c r="Y91" s="1017"/>
      <c r="Z91" s="1017"/>
      <c r="AA91" s="1017"/>
      <c r="AB91" s="1017"/>
      <c r="AC91" s="1017"/>
      <c r="AD91" s="1017"/>
      <c r="AE91" s="1017"/>
      <c r="AF91" s="1017"/>
      <c r="AG91" s="1017"/>
      <c r="AH91" s="1015"/>
      <c r="AI91" s="425"/>
      <c r="AJ91" s="915"/>
      <c r="AK91" s="915"/>
      <c r="AL91" s="915"/>
      <c r="AM91" s="915"/>
      <c r="AN91" s="915"/>
      <c r="AO91" s="915"/>
      <c r="AP91" s="915"/>
    </row>
    <row r="92" spans="1:42" ht="16.5" customHeight="1">
      <c r="A92" s="3517"/>
      <c r="B92" s="5678"/>
      <c r="C92" s="5679"/>
      <c r="D92" s="5679"/>
      <c r="E92" s="5680"/>
      <c r="F92" s="3375"/>
      <c r="G92" s="915"/>
      <c r="H92" s="5606" t="s">
        <v>801</v>
      </c>
      <c r="I92" s="5606"/>
      <c r="J92" s="5606"/>
      <c r="K92" s="5606"/>
      <c r="L92" s="5606"/>
      <c r="M92" s="5606"/>
      <c r="N92" s="5608"/>
      <c r="O92" s="5608"/>
      <c r="P92" s="5608"/>
      <c r="Q92" s="5608"/>
      <c r="R92" s="3490"/>
      <c r="S92" s="3413"/>
      <c r="T92" s="3414"/>
      <c r="U92" s="3411"/>
      <c r="V92" s="3412"/>
      <c r="W92" s="1017"/>
      <c r="X92" s="1017"/>
      <c r="Y92" s="1017"/>
      <c r="Z92" s="1017"/>
      <c r="AA92" s="1017"/>
      <c r="AB92" s="1017"/>
      <c r="AC92" s="1017"/>
      <c r="AD92" s="1017"/>
      <c r="AE92" s="1017"/>
      <c r="AF92" s="1017"/>
      <c r="AG92" s="1017"/>
      <c r="AH92" s="1015"/>
      <c r="AI92" s="425"/>
      <c r="AJ92" s="915"/>
      <c r="AK92" s="915"/>
      <c r="AL92" s="915"/>
      <c r="AM92" s="1010"/>
      <c r="AN92" s="1010"/>
      <c r="AO92" s="1010"/>
      <c r="AP92" s="915"/>
    </row>
    <row r="93" spans="1:42" ht="16.5" customHeight="1">
      <c r="A93" s="3517"/>
      <c r="B93" s="5678"/>
      <c r="C93" s="5679"/>
      <c r="D93" s="5679"/>
      <c r="E93" s="5680"/>
      <c r="F93" s="3375"/>
      <c r="G93" s="915"/>
      <c r="H93" s="5606" t="s">
        <v>1776</v>
      </c>
      <c r="I93" s="5606"/>
      <c r="J93" s="5606"/>
      <c r="K93" s="5606"/>
      <c r="L93" s="5606"/>
      <c r="M93" s="5606"/>
      <c r="N93" s="5608"/>
      <c r="O93" s="5608"/>
      <c r="P93" s="5608"/>
      <c r="Q93" s="5608"/>
      <c r="R93" s="3490"/>
      <c r="S93" s="3413"/>
      <c r="T93" s="3414"/>
      <c r="U93" s="3411"/>
      <c r="V93" s="3412"/>
      <c r="W93" s="1017"/>
      <c r="X93" s="1017"/>
      <c r="Y93" s="1017"/>
      <c r="Z93" s="1017"/>
      <c r="AA93" s="1017"/>
      <c r="AB93" s="1017"/>
      <c r="AC93" s="1017"/>
      <c r="AD93" s="1017"/>
      <c r="AE93" s="1017"/>
      <c r="AF93" s="1017"/>
      <c r="AG93" s="1017"/>
      <c r="AH93" s="1015"/>
      <c r="AI93" s="425"/>
      <c r="AJ93" s="915"/>
      <c r="AK93" s="915"/>
      <c r="AL93" s="915"/>
      <c r="AM93" s="915"/>
      <c r="AN93" s="915"/>
      <c r="AO93" s="915"/>
      <c r="AP93" s="915"/>
    </row>
    <row r="94" spans="1:42" ht="16.5" customHeight="1">
      <c r="A94" s="913"/>
      <c r="B94" s="5678"/>
      <c r="C94" s="5679"/>
      <c r="D94" s="5679"/>
      <c r="E94" s="5680"/>
      <c r="F94" s="3375"/>
      <c r="G94" s="915"/>
      <c r="H94" s="915"/>
      <c r="I94" s="915"/>
      <c r="J94" s="915"/>
      <c r="K94" s="915"/>
      <c r="L94" s="915"/>
      <c r="M94" s="915"/>
      <c r="N94" s="915"/>
      <c r="O94" s="915"/>
      <c r="P94" s="915"/>
      <c r="Q94" s="915"/>
      <c r="R94" s="2554"/>
      <c r="S94" s="425"/>
      <c r="T94" s="425"/>
      <c r="U94" s="3411"/>
      <c r="V94" s="3411"/>
      <c r="W94" s="1017"/>
      <c r="X94" s="1017"/>
      <c r="Y94" s="1017"/>
      <c r="Z94" s="1017"/>
      <c r="AA94" s="1017"/>
      <c r="AB94" s="1017"/>
      <c r="AC94" s="1017"/>
      <c r="AD94" s="1017"/>
      <c r="AE94" s="1017"/>
      <c r="AF94" s="1017"/>
      <c r="AG94" s="1017"/>
      <c r="AH94" s="1015"/>
      <c r="AI94" s="425"/>
      <c r="AJ94" s="915"/>
      <c r="AK94" s="915"/>
      <c r="AL94" s="915"/>
      <c r="AM94" s="1010"/>
      <c r="AN94" s="1010"/>
      <c r="AO94" s="1010"/>
      <c r="AP94" s="915"/>
    </row>
    <row r="95" spans="1:42" ht="15.75" customHeight="1">
      <c r="A95" s="344"/>
      <c r="B95" s="5678"/>
      <c r="C95" s="5679"/>
      <c r="D95" s="5679"/>
      <c r="E95" s="5680"/>
      <c r="F95" s="3375"/>
      <c r="G95" s="1034" t="s">
        <v>211</v>
      </c>
      <c r="H95" s="1035">
        <f>C44</f>
        <v>3.15</v>
      </c>
      <c r="I95" s="4687" t="str">
        <f>"g ̸ litre is equivalent to "&amp;FIXED(L95*H95,1)&amp;"g in"</f>
        <v>g ̸ litre is equivalent to 66.8g in</v>
      </c>
      <c r="J95" s="4688"/>
      <c r="K95" s="4689"/>
      <c r="L95" s="60">
        <v>21.2</v>
      </c>
      <c r="M95" s="4690" t="s">
        <v>1726</v>
      </c>
      <c r="N95" s="5624"/>
      <c r="O95" s="915"/>
      <c r="P95" s="915"/>
      <c r="Q95" s="913"/>
      <c r="R95" s="344"/>
      <c r="S95" s="425"/>
      <c r="T95" s="425"/>
      <c r="U95" s="3411"/>
      <c r="V95" s="3411"/>
      <c r="W95" s="1017"/>
      <c r="X95" s="1017"/>
      <c r="Y95" s="1017"/>
      <c r="Z95" s="1017"/>
      <c r="AA95" s="1017"/>
      <c r="AB95" s="1017"/>
      <c r="AC95" s="1017"/>
      <c r="AD95" s="1017"/>
      <c r="AE95" s="1017"/>
      <c r="AF95" s="1017"/>
      <c r="AG95" s="1017"/>
      <c r="AH95" s="1015"/>
      <c r="AI95" s="425"/>
      <c r="AJ95" s="915"/>
      <c r="AK95" s="915"/>
      <c r="AL95" s="915"/>
      <c r="AM95" s="915"/>
      <c r="AN95" s="915"/>
      <c r="AO95" s="915"/>
      <c r="AP95" s="915"/>
    </row>
    <row r="96" spans="1:42" ht="15.75" customHeight="1">
      <c r="A96" s="344"/>
      <c r="B96" s="5678"/>
      <c r="C96" s="5679"/>
      <c r="D96" s="5679"/>
      <c r="E96" s="5680"/>
      <c r="F96" s="3375"/>
      <c r="G96" s="344"/>
      <c r="H96" s="915"/>
      <c r="I96" s="915"/>
      <c r="J96" s="915"/>
      <c r="K96" s="915"/>
      <c r="L96" s="915"/>
      <c r="M96" s="915"/>
      <c r="N96" s="915"/>
      <c r="O96" s="915"/>
      <c r="P96" s="362"/>
      <c r="Q96" s="344"/>
      <c r="R96" s="344"/>
      <c r="S96" s="425"/>
      <c r="T96" s="425"/>
      <c r="U96" s="3411"/>
      <c r="V96" s="3411"/>
      <c r="W96" s="1017"/>
      <c r="X96" s="1017"/>
      <c r="Y96" s="1017"/>
      <c r="Z96" s="1017"/>
      <c r="AA96" s="1017"/>
      <c r="AB96" s="1017"/>
      <c r="AC96" s="1017"/>
      <c r="AD96" s="1017"/>
      <c r="AE96" s="1017"/>
      <c r="AF96" s="1017"/>
      <c r="AG96" s="1017"/>
      <c r="AH96" s="1015"/>
      <c r="AI96" s="425"/>
      <c r="AJ96" s="915"/>
      <c r="AK96" s="915"/>
      <c r="AL96" s="915"/>
      <c r="AM96" s="1010"/>
      <c r="AN96" s="1010"/>
      <c r="AO96" s="1010"/>
      <c r="AP96" s="915"/>
    </row>
    <row r="97" spans="1:42" ht="15.75" customHeight="1">
      <c r="A97" s="344"/>
      <c r="B97" s="5678"/>
      <c r="C97" s="5679"/>
      <c r="D97" s="5679"/>
      <c r="E97" s="5680"/>
      <c r="F97" s="3375"/>
      <c r="G97" s="344"/>
      <c r="H97" s="5660" t="s">
        <v>218</v>
      </c>
      <c r="I97" s="5660"/>
      <c r="J97" s="5661" t="s">
        <v>219</v>
      </c>
      <c r="K97" s="5662"/>
      <c r="L97" s="5660" t="s">
        <v>1807</v>
      </c>
      <c r="M97" s="5660"/>
      <c r="N97" s="915"/>
      <c r="O97" s="915"/>
      <c r="P97" s="362"/>
      <c r="Q97" s="344"/>
      <c r="R97" s="344"/>
      <c r="S97" s="425"/>
      <c r="T97" s="425"/>
      <c r="U97" s="3411"/>
      <c r="V97" s="3411"/>
      <c r="W97" s="1017"/>
      <c r="X97" s="1017"/>
      <c r="Y97" s="1017"/>
      <c r="Z97" s="1017"/>
      <c r="AA97" s="1017"/>
      <c r="AB97" s="1017"/>
      <c r="AC97" s="1017"/>
      <c r="AD97" s="1017"/>
      <c r="AE97" s="1017"/>
      <c r="AF97" s="1017"/>
      <c r="AG97" s="1017"/>
      <c r="AH97" s="1015"/>
      <c r="AI97" s="425"/>
      <c r="AJ97" s="915"/>
      <c r="AK97" s="915"/>
      <c r="AL97" s="915"/>
      <c r="AM97" s="915"/>
      <c r="AN97" s="915"/>
      <c r="AO97" s="915"/>
      <c r="AP97" s="915"/>
    </row>
    <row r="98" spans="1:42" ht="15.75" customHeight="1">
      <c r="A98" s="344"/>
      <c r="B98" s="5678"/>
      <c r="C98" s="5679"/>
      <c r="D98" s="5679"/>
      <c r="E98" s="5680"/>
      <c r="F98" s="3375"/>
      <c r="G98" s="344"/>
      <c r="H98" s="5667">
        <f>J98*0.2489/0.262</f>
        <v>0.95</v>
      </c>
      <c r="I98" s="5667"/>
      <c r="J98" s="5668">
        <v>1</v>
      </c>
      <c r="K98" s="5669"/>
      <c r="L98" s="5670">
        <f>J98*0.262/0.2489</f>
        <v>1.0526315789473684</v>
      </c>
      <c r="M98" s="5670"/>
      <c r="N98" s="915"/>
      <c r="O98" s="915"/>
      <c r="P98" s="362"/>
      <c r="Q98" s="344"/>
      <c r="R98" s="344"/>
      <c r="S98" s="425"/>
      <c r="T98" s="425"/>
      <c r="U98" s="3411"/>
      <c r="V98" s="3411"/>
      <c r="W98" s="1017"/>
      <c r="X98" s="1017"/>
      <c r="Y98" s="1017"/>
      <c r="Z98" s="1017"/>
      <c r="AA98" s="1017"/>
      <c r="AB98" s="1017"/>
      <c r="AC98" s="1017"/>
      <c r="AD98" s="1017"/>
      <c r="AE98" s="1017"/>
      <c r="AF98" s="1017"/>
      <c r="AG98" s="1017"/>
      <c r="AH98" s="1015"/>
      <c r="AI98" s="425"/>
      <c r="AJ98" s="915"/>
      <c r="AK98" s="915"/>
      <c r="AL98" s="915"/>
      <c r="AM98" s="1010"/>
      <c r="AN98" s="1010"/>
      <c r="AO98" s="1010"/>
      <c r="AP98" s="915"/>
    </row>
    <row r="99" spans="1:42" ht="15.75" customHeight="1">
      <c r="A99" s="344"/>
      <c r="B99" s="5678"/>
      <c r="C99" s="5679"/>
      <c r="D99" s="5679"/>
      <c r="E99" s="5680"/>
      <c r="F99" s="3375"/>
      <c r="G99" s="344"/>
      <c r="H99" s="915"/>
      <c r="I99" s="4566" t="str">
        <f>1*FIXED(J98)&amp;" unit(s) of sucrose = "&amp;1*FIXED(L98)&amp;" units of dextrose"</f>
        <v>1 unit(s) of sucrose = 1.05 units of dextrose</v>
      </c>
      <c r="J99" s="4566"/>
      <c r="K99" s="4566"/>
      <c r="L99" s="4566"/>
      <c r="M99" s="915"/>
      <c r="N99" s="915"/>
      <c r="O99" s="915"/>
      <c r="P99" s="362"/>
      <c r="Q99" s="344"/>
      <c r="R99" s="344"/>
      <c r="S99" s="358"/>
      <c r="T99" s="358"/>
      <c r="U99" s="448"/>
      <c r="V99" s="448"/>
      <c r="W99" s="913"/>
      <c r="X99" s="913"/>
      <c r="Y99" s="913"/>
      <c r="Z99" s="913"/>
      <c r="AA99" s="913"/>
      <c r="AB99" s="913"/>
      <c r="AC99" s="913"/>
      <c r="AD99" s="913"/>
      <c r="AE99" s="913"/>
      <c r="AF99" s="913"/>
      <c r="AG99" s="913"/>
      <c r="AH99" s="981"/>
      <c r="AI99" s="358"/>
      <c r="AJ99" s="915"/>
      <c r="AK99" s="915"/>
      <c r="AL99" s="915"/>
      <c r="AM99" s="915"/>
      <c r="AN99" s="915"/>
      <c r="AO99" s="915"/>
      <c r="AP99" s="915"/>
    </row>
    <row r="100" spans="1:42" ht="15.75" customHeight="1">
      <c r="A100" s="344"/>
      <c r="B100" s="5678"/>
      <c r="C100" s="5679"/>
      <c r="D100" s="5679"/>
      <c r="E100" s="5680"/>
      <c r="F100" s="3375"/>
      <c r="G100" s="344"/>
      <c r="H100" s="915"/>
      <c r="I100" s="4566" t="str">
        <f>1*FIXED(J98)&amp;" unit(s) of dextrose = "&amp;1*FIXED(H98)&amp;" units of sucrose"</f>
        <v>1 unit(s) of dextrose = 0.95 units of sucrose</v>
      </c>
      <c r="J100" s="4566"/>
      <c r="K100" s="4566"/>
      <c r="L100" s="4566"/>
      <c r="M100" s="915"/>
      <c r="N100" s="1034"/>
      <c r="O100" s="3218"/>
      <c r="P100" s="362"/>
      <c r="Q100" s="344"/>
      <c r="R100" s="344"/>
      <c r="S100" s="358"/>
      <c r="T100" s="358"/>
      <c r="U100" s="448"/>
      <c r="V100" s="448"/>
      <c r="W100" s="913"/>
      <c r="X100" s="913"/>
      <c r="Y100" s="913"/>
      <c r="Z100" s="913"/>
      <c r="AA100" s="913"/>
      <c r="AB100" s="913"/>
      <c r="AC100" s="913"/>
      <c r="AD100" s="913"/>
      <c r="AE100" s="913"/>
      <c r="AF100" s="913"/>
      <c r="AG100" s="913"/>
      <c r="AH100" s="981"/>
      <c r="AI100" s="358"/>
      <c r="AJ100" s="915"/>
      <c r="AK100" s="915"/>
      <c r="AL100" s="915"/>
      <c r="AM100" s="1010"/>
      <c r="AN100" s="1010"/>
      <c r="AO100" s="1010"/>
      <c r="AP100" s="915"/>
    </row>
    <row r="101" spans="1:42" ht="15.75" customHeight="1">
      <c r="A101" s="344"/>
      <c r="B101" s="5678"/>
      <c r="C101" s="5679"/>
      <c r="D101" s="5679"/>
      <c r="E101" s="5680"/>
      <c r="F101" s="2481"/>
      <c r="G101" s="344"/>
      <c r="H101" s="915"/>
      <c r="I101" s="3506"/>
      <c r="J101" s="3506"/>
      <c r="K101" s="3506"/>
      <c r="L101" s="5673"/>
      <c r="M101" s="5673"/>
      <c r="N101" s="5673"/>
      <c r="O101" s="5684" t="s">
        <v>231</v>
      </c>
      <c r="P101" s="5684"/>
      <c r="Q101" s="5684"/>
      <c r="R101" s="344"/>
      <c r="S101" s="358"/>
      <c r="T101" s="358"/>
      <c r="U101" s="448"/>
      <c r="V101" s="448"/>
      <c r="W101" s="913"/>
      <c r="X101" s="913"/>
      <c r="Y101" s="913"/>
      <c r="Z101" s="913"/>
      <c r="AA101" s="913"/>
      <c r="AB101" s="913"/>
      <c r="AC101" s="913"/>
      <c r="AD101" s="913"/>
      <c r="AE101" s="913"/>
      <c r="AF101" s="913"/>
      <c r="AG101" s="913"/>
      <c r="AH101" s="981"/>
      <c r="AI101" s="358"/>
      <c r="AJ101" s="915"/>
      <c r="AK101" s="915"/>
      <c r="AL101" s="915"/>
      <c r="AM101" s="1010"/>
      <c r="AN101" s="1010"/>
      <c r="AO101" s="1010"/>
      <c r="AP101" s="915"/>
    </row>
    <row r="102" spans="1:42" ht="15.75" customHeight="1">
      <c r="A102" s="344"/>
      <c r="B102" s="5681"/>
      <c r="C102" s="5682"/>
      <c r="D102" s="5682"/>
      <c r="E102" s="5683"/>
      <c r="F102" s="2481"/>
      <c r="G102" s="344"/>
      <c r="H102" s="915"/>
      <c r="I102" s="3506"/>
      <c r="J102" s="3506"/>
      <c r="K102" s="3506"/>
      <c r="L102" s="3899" t="s">
        <v>802</v>
      </c>
      <c r="M102" s="3899"/>
      <c r="N102" s="3899"/>
      <c r="O102" s="5665" t="s">
        <v>1</v>
      </c>
      <c r="P102" s="5665"/>
      <c r="Q102" s="5665"/>
      <c r="R102" s="344"/>
      <c r="S102" s="358"/>
      <c r="T102" s="358"/>
      <c r="U102" s="448"/>
      <c r="V102" s="448"/>
      <c r="W102" s="913"/>
      <c r="X102" s="913"/>
      <c r="Y102" s="913"/>
      <c r="Z102" s="913"/>
      <c r="AA102" s="913"/>
      <c r="AB102" s="913"/>
      <c r="AC102" s="913"/>
      <c r="AD102" s="913"/>
      <c r="AE102" s="913"/>
      <c r="AF102" s="913"/>
      <c r="AG102" s="913"/>
      <c r="AH102" s="981"/>
      <c r="AI102" s="358"/>
      <c r="AJ102" s="915"/>
      <c r="AK102" s="915"/>
      <c r="AL102" s="915"/>
      <c r="AM102" s="1010"/>
      <c r="AN102" s="1010"/>
      <c r="AO102" s="1010"/>
      <c r="AP102" s="915"/>
    </row>
    <row r="103" spans="1:42" ht="15.75" customHeight="1">
      <c r="A103" s="344"/>
      <c r="B103" s="344"/>
      <c r="C103" s="344"/>
      <c r="D103" s="344"/>
      <c r="E103" s="344"/>
      <c r="F103" s="344"/>
      <c r="G103" s="344"/>
      <c r="H103" s="915"/>
      <c r="I103" s="3506"/>
      <c r="J103" s="3506"/>
      <c r="K103" s="3238"/>
      <c r="L103" s="3899" t="s">
        <v>232</v>
      </c>
      <c r="M103" s="3899"/>
      <c r="N103" s="3899"/>
      <c r="O103" s="5665" t="s">
        <v>233</v>
      </c>
      <c r="P103" s="5665"/>
      <c r="Q103" s="5665"/>
      <c r="R103" s="344"/>
      <c r="S103" s="358"/>
      <c r="T103" s="358"/>
      <c r="U103" s="448"/>
      <c r="V103" s="448"/>
      <c r="W103" s="913"/>
      <c r="X103" s="913"/>
      <c r="Y103" s="913"/>
      <c r="Z103" s="913"/>
      <c r="AA103" s="913"/>
      <c r="AB103" s="913"/>
      <c r="AC103" s="913"/>
      <c r="AD103" s="913"/>
      <c r="AE103" s="913"/>
      <c r="AF103" s="913"/>
      <c r="AG103" s="913"/>
      <c r="AH103" s="981"/>
      <c r="AI103" s="358"/>
      <c r="AJ103" s="915"/>
      <c r="AK103" s="915"/>
      <c r="AL103" s="915"/>
      <c r="AM103" s="1010"/>
      <c r="AN103" s="1010"/>
      <c r="AO103" s="1010"/>
      <c r="AP103" s="915"/>
    </row>
    <row r="104" spans="1:42" ht="15.75" customHeight="1">
      <c r="A104" s="3915" t="s">
        <v>803</v>
      </c>
      <c r="B104" s="3915"/>
      <c r="C104" s="3915"/>
      <c r="D104" s="3915"/>
      <c r="E104" s="3915"/>
      <c r="F104" s="3915"/>
      <c r="G104" s="3915"/>
      <c r="H104" s="3222"/>
      <c r="I104" s="915"/>
      <c r="J104" s="915"/>
      <c r="K104" s="935"/>
      <c r="L104" s="5674" t="s">
        <v>234</v>
      </c>
      <c r="M104" s="5674"/>
      <c r="N104" s="5674"/>
      <c r="O104" s="5666" t="s">
        <v>235</v>
      </c>
      <c r="P104" s="5666"/>
      <c r="Q104" s="5666"/>
      <c r="R104" s="344"/>
      <c r="S104" s="358"/>
      <c r="T104" s="358"/>
      <c r="U104" s="448"/>
      <c r="V104" s="448"/>
      <c r="W104" s="913"/>
      <c r="X104" s="913"/>
      <c r="Y104" s="913"/>
      <c r="Z104" s="913"/>
      <c r="AA104" s="913"/>
      <c r="AB104" s="913"/>
      <c r="AC104" s="913"/>
      <c r="AD104" s="913"/>
      <c r="AE104" s="913"/>
      <c r="AF104" s="913"/>
      <c r="AG104" s="913"/>
      <c r="AH104" s="981"/>
      <c r="AI104" s="358"/>
      <c r="AJ104" s="915"/>
      <c r="AK104" s="915"/>
      <c r="AL104" s="915"/>
      <c r="AM104" s="915"/>
      <c r="AN104" s="915"/>
      <c r="AO104" s="915"/>
      <c r="AP104" s="915"/>
    </row>
    <row r="105" spans="1:42" ht="15.75" customHeight="1">
      <c r="A105" s="344"/>
      <c r="B105" s="344"/>
      <c r="C105" s="344"/>
      <c r="D105" s="344"/>
      <c r="E105" s="344"/>
      <c r="F105" s="344"/>
      <c r="G105" s="344"/>
      <c r="H105" s="915"/>
      <c r="I105" s="915"/>
      <c r="J105" s="915"/>
      <c r="K105" s="915"/>
      <c r="L105" s="915"/>
      <c r="M105" s="915"/>
      <c r="N105" s="915"/>
      <c r="O105" s="915"/>
      <c r="P105" s="915"/>
      <c r="Q105" s="915"/>
      <c r="R105" s="344"/>
      <c r="S105" s="358"/>
      <c r="T105" s="358"/>
      <c r="U105" s="448"/>
      <c r="V105" s="448"/>
      <c r="W105" s="913"/>
      <c r="X105" s="913"/>
      <c r="Y105" s="913"/>
      <c r="Z105" s="913"/>
      <c r="AA105" s="913"/>
      <c r="AB105" s="913"/>
      <c r="AC105" s="913"/>
      <c r="AD105" s="913"/>
      <c r="AE105" s="913"/>
      <c r="AF105" s="913"/>
      <c r="AG105" s="913"/>
      <c r="AH105" s="981"/>
      <c r="AI105" s="358"/>
      <c r="AJ105" s="915"/>
      <c r="AK105" s="915"/>
      <c r="AL105" s="915"/>
      <c r="AM105" s="1010"/>
      <c r="AN105" s="1010"/>
      <c r="AO105" s="1010"/>
      <c r="AP105" s="915"/>
    </row>
    <row r="106" spans="1:42">
      <c r="A106" s="5672" t="s">
        <v>236</v>
      </c>
      <c r="B106" s="5672"/>
      <c r="C106" s="1038"/>
      <c r="D106" s="344"/>
      <c r="E106" s="344"/>
      <c r="F106" s="344"/>
      <c r="G106" s="344"/>
      <c r="H106" s="362"/>
      <c r="I106" s="915"/>
      <c r="J106" s="915"/>
      <c r="K106" s="915"/>
      <c r="L106" s="915"/>
      <c r="M106" s="915"/>
      <c r="N106" s="915"/>
      <c r="O106" s="915"/>
      <c r="P106" s="915"/>
      <c r="Q106" s="915"/>
      <c r="R106" s="344"/>
      <c r="S106" s="358"/>
      <c r="T106" s="358"/>
      <c r="U106" s="358"/>
      <c r="V106" s="358"/>
      <c r="W106" s="913"/>
      <c r="X106" s="913"/>
      <c r="Y106" s="913"/>
      <c r="Z106" s="913"/>
      <c r="AA106" s="913"/>
      <c r="AB106" s="913"/>
      <c r="AC106" s="913"/>
      <c r="AD106" s="913"/>
      <c r="AE106" s="913"/>
      <c r="AF106" s="913"/>
      <c r="AG106" s="913"/>
      <c r="AH106" s="358"/>
      <c r="AI106" s="358"/>
      <c r="AJ106" s="915"/>
      <c r="AK106" s="915"/>
      <c r="AL106" s="915"/>
      <c r="AM106" s="915"/>
      <c r="AN106" s="915"/>
      <c r="AO106" s="915"/>
      <c r="AP106" s="915"/>
    </row>
    <row r="107" spans="1:42">
      <c r="A107" s="1039"/>
      <c r="B107" s="5671" t="s">
        <v>804</v>
      </c>
      <c r="C107" s="5671"/>
      <c r="D107" s="5671"/>
      <c r="E107" s="5671"/>
      <c r="F107" s="1040"/>
      <c r="G107" s="1041"/>
      <c r="H107" s="362"/>
      <c r="I107" s="915"/>
      <c r="J107" s="915"/>
      <c r="K107" s="915"/>
      <c r="L107" s="915"/>
      <c r="M107" s="915"/>
      <c r="N107" s="915"/>
      <c r="O107" s="915"/>
      <c r="P107" s="915"/>
      <c r="Q107" s="915"/>
      <c r="R107" s="344"/>
      <c r="S107" s="358"/>
      <c r="T107" s="358"/>
      <c r="U107" s="448"/>
      <c r="V107" s="448"/>
      <c r="W107" s="913"/>
      <c r="X107" s="913"/>
      <c r="Y107" s="913"/>
      <c r="Z107" s="913"/>
      <c r="AA107" s="913"/>
      <c r="AB107" s="913"/>
      <c r="AC107" s="913"/>
      <c r="AD107" s="913"/>
      <c r="AE107" s="913"/>
      <c r="AF107" s="913"/>
      <c r="AG107" s="913"/>
      <c r="AH107" s="981"/>
      <c r="AI107" s="358"/>
      <c r="AJ107" s="915"/>
      <c r="AK107" s="915"/>
      <c r="AL107" s="915"/>
      <c r="AM107" s="1010"/>
      <c r="AN107" s="1010"/>
      <c r="AO107" s="1010"/>
      <c r="AP107" s="915"/>
    </row>
    <row r="108" spans="1:42">
      <c r="A108" s="4633" t="s">
        <v>778</v>
      </c>
      <c r="B108" s="4738"/>
      <c r="C108" s="1042" t="s">
        <v>41</v>
      </c>
      <c r="D108" s="1042" t="s">
        <v>805</v>
      </c>
      <c r="E108" s="913"/>
      <c r="F108" s="358"/>
      <c r="G108" s="1043"/>
      <c r="H108" s="344"/>
      <c r="I108" s="915"/>
      <c r="J108" s="915"/>
      <c r="K108" s="915"/>
      <c r="L108" s="915"/>
      <c r="M108" s="915"/>
      <c r="N108" s="915"/>
      <c r="O108" s="915"/>
      <c r="P108" s="915"/>
      <c r="Q108" s="915"/>
      <c r="R108" s="344"/>
      <c r="S108" s="358"/>
      <c r="T108" s="358"/>
      <c r="U108" s="358"/>
      <c r="V108" s="358"/>
      <c r="W108" s="913"/>
      <c r="X108" s="913"/>
      <c r="Y108" s="913"/>
      <c r="Z108" s="913"/>
      <c r="AA108" s="913"/>
      <c r="AB108" s="913"/>
      <c r="AC108" s="913"/>
      <c r="AD108" s="913"/>
      <c r="AE108" s="913"/>
      <c r="AF108" s="913"/>
      <c r="AG108" s="913"/>
      <c r="AH108" s="358"/>
      <c r="AI108" s="358"/>
      <c r="AJ108" s="915"/>
      <c r="AK108" s="915"/>
      <c r="AL108" s="915"/>
      <c r="AM108" s="915"/>
      <c r="AN108" s="915"/>
      <c r="AO108" s="915"/>
      <c r="AP108" s="915"/>
    </row>
    <row r="109" spans="1:42" ht="13.5" customHeight="1">
      <c r="A109" s="989"/>
      <c r="B109" s="388"/>
      <c r="C109" s="1042" t="s">
        <v>242</v>
      </c>
      <c r="D109" s="1042" t="s">
        <v>806</v>
      </c>
      <c r="E109" s="913"/>
      <c r="F109" s="358"/>
      <c r="G109" s="1043"/>
      <c r="H109" s="344"/>
      <c r="I109" s="915"/>
      <c r="J109" s="915"/>
      <c r="K109" s="915"/>
      <c r="L109" s="915"/>
      <c r="M109" s="915"/>
      <c r="N109" s="915"/>
      <c r="O109" s="915"/>
      <c r="P109" s="915"/>
      <c r="Q109" s="915"/>
      <c r="R109" s="344"/>
      <c r="S109" s="358"/>
      <c r="T109" s="358"/>
      <c r="U109" s="448"/>
      <c r="V109" s="448"/>
      <c r="W109" s="913"/>
      <c r="X109" s="913"/>
      <c r="Y109" s="913"/>
      <c r="Z109" s="913"/>
      <c r="AA109" s="913"/>
      <c r="AB109" s="913"/>
      <c r="AC109" s="913"/>
      <c r="AD109" s="913"/>
      <c r="AE109" s="913"/>
      <c r="AF109" s="913"/>
      <c r="AG109" s="913"/>
      <c r="AH109" s="981"/>
      <c r="AI109" s="358"/>
      <c r="AJ109" s="915"/>
      <c r="AK109" s="915"/>
      <c r="AL109" s="915"/>
      <c r="AM109" s="1010"/>
      <c r="AN109" s="1010"/>
      <c r="AO109" s="1010"/>
      <c r="AP109" s="915"/>
    </row>
    <row r="110" spans="1:42">
      <c r="A110" s="989"/>
      <c r="B110" s="1045" t="s">
        <v>807</v>
      </c>
      <c r="C110" s="1011">
        <f>D110*375/100</f>
        <v>277.5</v>
      </c>
      <c r="D110" s="1046">
        <v>74</v>
      </c>
      <c r="E110" s="1046">
        <v>6.5</v>
      </c>
      <c r="F110" s="358"/>
      <c r="G110" s="1814"/>
      <c r="H110" s="1047"/>
      <c r="I110" s="915"/>
      <c r="J110" s="915"/>
      <c r="K110" s="915"/>
      <c r="L110" s="915"/>
      <c r="M110" s="915"/>
      <c r="N110" s="915"/>
      <c r="O110" s="915"/>
      <c r="P110" s="915"/>
      <c r="Q110" s="915"/>
      <c r="R110" s="344"/>
      <c r="S110" s="358"/>
      <c r="T110" s="358"/>
      <c r="U110" s="358"/>
      <c r="V110" s="358"/>
      <c r="W110" s="913"/>
      <c r="X110" s="913"/>
      <c r="Y110" s="913"/>
      <c r="Z110" s="913"/>
      <c r="AA110" s="913"/>
      <c r="AB110" s="913"/>
      <c r="AC110" s="913"/>
      <c r="AD110" s="913"/>
      <c r="AE110" s="913"/>
      <c r="AF110" s="913"/>
      <c r="AG110" s="913"/>
      <c r="AH110" s="358"/>
      <c r="AI110" s="358"/>
      <c r="AJ110" s="915"/>
      <c r="AK110" s="915"/>
      <c r="AL110" s="915"/>
      <c r="AM110" s="915"/>
      <c r="AN110" s="915"/>
      <c r="AO110" s="915"/>
      <c r="AP110" s="915"/>
    </row>
    <row r="111" spans="1:42">
      <c r="A111" s="989"/>
      <c r="B111" s="1048" t="s">
        <v>808</v>
      </c>
      <c r="C111" s="1011">
        <f>D111*375/100</f>
        <v>262.5</v>
      </c>
      <c r="D111" s="1046">
        <v>70</v>
      </c>
      <c r="E111" s="1046">
        <v>4</v>
      </c>
      <c r="F111" s="358"/>
      <c r="G111" s="1814"/>
      <c r="H111" s="1047"/>
      <c r="I111" s="915"/>
      <c r="J111" s="915"/>
      <c r="K111" s="915"/>
      <c r="L111" s="915"/>
      <c r="M111" s="915"/>
      <c r="N111" s="915"/>
      <c r="O111" s="915"/>
      <c r="P111" s="915"/>
      <c r="Q111" s="915"/>
      <c r="R111" s="344"/>
      <c r="S111" s="358"/>
      <c r="T111" s="358"/>
      <c r="U111" s="448"/>
      <c r="V111" s="448"/>
      <c r="W111" s="913"/>
      <c r="X111" s="913"/>
      <c r="Y111" s="913"/>
      <c r="Z111" s="913"/>
      <c r="AA111" s="913"/>
      <c r="AB111" s="913"/>
      <c r="AC111" s="913"/>
      <c r="AD111" s="913"/>
      <c r="AE111" s="913"/>
      <c r="AF111" s="913"/>
      <c r="AG111" s="913"/>
      <c r="AH111" s="981"/>
      <c r="AI111" s="358"/>
      <c r="AJ111" s="915"/>
      <c r="AK111" s="915"/>
      <c r="AL111" s="915"/>
      <c r="AM111" s="915"/>
      <c r="AN111" s="915"/>
      <c r="AO111" s="915"/>
      <c r="AP111" s="915"/>
    </row>
    <row r="112" spans="1:42">
      <c r="A112" s="989"/>
      <c r="B112" s="1049" t="s">
        <v>809</v>
      </c>
      <c r="C112" s="1011">
        <f>D112*375/100</f>
        <v>293.625</v>
      </c>
      <c r="D112" s="1046">
        <v>78.3</v>
      </c>
      <c r="E112" s="1046">
        <v>2</v>
      </c>
      <c r="F112" s="358"/>
      <c r="G112" s="1814"/>
      <c r="H112" s="1047"/>
      <c r="I112" s="915"/>
      <c r="J112" s="915"/>
      <c r="K112" s="915"/>
      <c r="L112" s="915"/>
      <c r="M112" s="915"/>
      <c r="N112" s="915"/>
      <c r="O112" s="915"/>
      <c r="P112" s="915"/>
      <c r="Q112" s="915"/>
      <c r="R112" s="344"/>
      <c r="S112" s="358"/>
      <c r="T112" s="358"/>
      <c r="U112" s="358"/>
      <c r="V112" s="358"/>
      <c r="W112" s="913"/>
      <c r="X112" s="913"/>
      <c r="Y112" s="913"/>
      <c r="Z112" s="913"/>
      <c r="AA112" s="913"/>
      <c r="AB112" s="913"/>
      <c r="AC112" s="913"/>
      <c r="AD112" s="913"/>
      <c r="AE112" s="913"/>
      <c r="AF112" s="913"/>
      <c r="AG112" s="913"/>
      <c r="AH112" s="358"/>
      <c r="AI112" s="358"/>
      <c r="AJ112" s="915"/>
      <c r="AK112" s="915"/>
      <c r="AL112" s="915"/>
      <c r="AM112" s="915"/>
      <c r="AN112" s="915"/>
      <c r="AO112" s="915"/>
      <c r="AP112" s="915"/>
    </row>
    <row r="113" spans="1:42">
      <c r="A113" s="989"/>
      <c r="B113" s="1050" t="s">
        <v>412</v>
      </c>
      <c r="C113" s="1051"/>
      <c r="D113" s="1051"/>
      <c r="E113" s="1051"/>
      <c r="F113" s="358"/>
      <c r="G113" s="1043"/>
      <c r="H113" s="1047"/>
      <c r="I113" s="915"/>
      <c r="J113" s="915"/>
      <c r="K113" s="915"/>
      <c r="L113" s="915"/>
      <c r="M113" s="915"/>
      <c r="N113" s="915"/>
      <c r="O113" s="915"/>
      <c r="P113" s="915"/>
      <c r="Q113" s="915"/>
      <c r="R113" s="344"/>
      <c r="S113" s="358"/>
      <c r="T113" s="358"/>
      <c r="U113" s="448"/>
      <c r="V113" s="448"/>
      <c r="W113" s="913"/>
      <c r="X113" s="913"/>
      <c r="Y113" s="913"/>
      <c r="Z113" s="913"/>
      <c r="AA113" s="913"/>
      <c r="AB113" s="913"/>
      <c r="AC113" s="913"/>
      <c r="AD113" s="913"/>
      <c r="AE113" s="913"/>
      <c r="AF113" s="913"/>
      <c r="AG113" s="913"/>
      <c r="AH113" s="981"/>
      <c r="AI113" s="358"/>
      <c r="AJ113" s="915"/>
      <c r="AK113" s="915"/>
      <c r="AL113" s="915"/>
      <c r="AM113" s="915"/>
      <c r="AN113" s="915"/>
      <c r="AO113" s="915"/>
      <c r="AP113" s="915"/>
    </row>
    <row r="114" spans="1:42">
      <c r="A114" s="989"/>
      <c r="B114" s="1050" t="s">
        <v>412</v>
      </c>
      <c r="C114" s="1052"/>
      <c r="D114" s="1053"/>
      <c r="E114" s="1046"/>
      <c r="F114" s="358"/>
      <c r="G114" s="1043"/>
      <c r="H114" s="344"/>
      <c r="I114" s="915"/>
      <c r="J114" s="915"/>
      <c r="K114" s="915"/>
      <c r="L114" s="915"/>
      <c r="M114" s="915"/>
      <c r="N114" s="915"/>
      <c r="O114" s="915"/>
      <c r="P114" s="915"/>
      <c r="Q114" s="915"/>
      <c r="R114" s="344"/>
      <c r="S114" s="358"/>
      <c r="T114" s="358"/>
      <c r="U114" s="358"/>
      <c r="V114" s="358"/>
      <c r="W114" s="913"/>
      <c r="X114" s="913"/>
      <c r="Y114" s="913"/>
      <c r="Z114" s="913"/>
      <c r="AA114" s="913"/>
      <c r="AB114" s="913"/>
      <c r="AC114" s="913"/>
      <c r="AD114" s="913"/>
      <c r="AE114" s="913"/>
      <c r="AF114" s="913"/>
      <c r="AG114" s="913"/>
      <c r="AH114" s="358"/>
      <c r="AI114" s="358"/>
      <c r="AJ114" s="915"/>
      <c r="AK114" s="915"/>
      <c r="AL114" s="915"/>
      <c r="AM114" s="915"/>
      <c r="AN114" s="915"/>
      <c r="AO114" s="915"/>
      <c r="AP114" s="915"/>
    </row>
    <row r="115" spans="1:42" ht="13.5" customHeight="1">
      <c r="A115" s="989"/>
      <c r="B115" s="1050" t="s">
        <v>412</v>
      </c>
      <c r="C115" s="1052"/>
      <c r="D115" s="1053"/>
      <c r="E115" s="1046"/>
      <c r="F115" s="358"/>
      <c r="G115" s="1043"/>
      <c r="H115" s="344"/>
      <c r="I115" s="915"/>
      <c r="J115" s="915"/>
      <c r="K115" s="915"/>
      <c r="L115" s="915"/>
      <c r="M115" s="915"/>
      <c r="N115" s="915"/>
      <c r="O115" s="915"/>
      <c r="P115" s="915"/>
      <c r="Q115" s="915"/>
      <c r="R115" s="344"/>
      <c r="S115" s="358"/>
      <c r="T115" s="358"/>
      <c r="U115" s="448"/>
      <c r="V115" s="448"/>
      <c r="W115" s="913"/>
      <c r="X115" s="913"/>
      <c r="Y115" s="913"/>
      <c r="Z115" s="913"/>
      <c r="AA115" s="913"/>
      <c r="AB115" s="913"/>
      <c r="AC115" s="913"/>
      <c r="AD115" s="913"/>
      <c r="AE115" s="913"/>
      <c r="AF115" s="913"/>
      <c r="AG115" s="913"/>
      <c r="AH115" s="981"/>
      <c r="AI115" s="358"/>
      <c r="AJ115" s="915"/>
      <c r="AK115" s="915"/>
      <c r="AL115" s="915"/>
      <c r="AM115" s="915"/>
      <c r="AN115" s="915"/>
      <c r="AO115" s="915"/>
      <c r="AP115" s="915"/>
    </row>
    <row r="116" spans="1:42">
      <c r="A116" s="989"/>
      <c r="B116" s="1050" t="s">
        <v>412</v>
      </c>
      <c r="C116" s="1046"/>
      <c r="D116" s="1046"/>
      <c r="E116" s="1046"/>
      <c r="F116" s="358"/>
      <c r="G116" s="1043"/>
      <c r="H116" s="344"/>
      <c r="I116" s="344"/>
      <c r="J116" s="344"/>
      <c r="K116" s="344"/>
      <c r="L116" s="344"/>
      <c r="M116" s="344"/>
      <c r="N116" s="344"/>
      <c r="O116" s="344"/>
      <c r="P116" s="344"/>
      <c r="Q116" s="344"/>
      <c r="R116" s="613"/>
      <c r="S116" s="358"/>
      <c r="T116" s="358"/>
      <c r="U116" s="388"/>
      <c r="V116" s="388"/>
      <c r="W116" s="388"/>
      <c r="X116" s="388"/>
      <c r="Y116" s="388"/>
      <c r="Z116" s="981"/>
      <c r="AA116" s="64"/>
      <c r="AB116" s="64"/>
      <c r="AC116" s="64"/>
      <c r="AD116" s="64"/>
      <c r="AE116" s="64"/>
      <c r="AF116" s="64"/>
      <c r="AG116" s="64"/>
      <c r="AH116" s="981"/>
      <c r="AI116" s="981"/>
      <c r="AJ116" s="915"/>
      <c r="AK116" s="915"/>
      <c r="AL116" s="915"/>
      <c r="AM116" s="915"/>
      <c r="AN116" s="915"/>
      <c r="AO116" s="915"/>
      <c r="AP116" s="915"/>
    </row>
    <row r="117" spans="1:42">
      <c r="A117" s="989"/>
      <c r="B117" s="1050" t="s">
        <v>412</v>
      </c>
      <c r="C117" s="1046"/>
      <c r="D117" s="1046"/>
      <c r="E117" s="1046"/>
      <c r="F117" s="388"/>
      <c r="G117" s="1815"/>
      <c r="H117" s="362"/>
      <c r="I117" s="362"/>
      <c r="J117" s="362"/>
      <c r="K117" s="362"/>
      <c r="L117" s="362"/>
      <c r="M117" s="362"/>
      <c r="N117" s="362"/>
      <c r="O117" s="362"/>
      <c r="P117" s="362"/>
      <c r="Q117" s="363"/>
      <c r="R117" s="363"/>
      <c r="S117" s="358"/>
      <c r="T117" s="358"/>
      <c r="U117" s="388"/>
      <c r="V117" s="388"/>
      <c r="W117" s="388"/>
      <c r="X117" s="388"/>
      <c r="Y117" s="388"/>
      <c r="Z117" s="981"/>
      <c r="AA117" s="64"/>
      <c r="AB117" s="64"/>
      <c r="AC117" s="64"/>
      <c r="AD117" s="64"/>
      <c r="AE117" s="64"/>
      <c r="AF117" s="64"/>
      <c r="AG117" s="64"/>
      <c r="AH117" s="981"/>
      <c r="AI117" s="981"/>
      <c r="AJ117" s="915"/>
      <c r="AK117" s="915"/>
      <c r="AL117" s="915"/>
      <c r="AM117" s="915"/>
      <c r="AN117" s="915"/>
      <c r="AO117" s="915"/>
      <c r="AP117" s="915"/>
    </row>
    <row r="118" spans="1:42">
      <c r="A118" s="1816"/>
      <c r="B118" s="1050" t="s">
        <v>412</v>
      </c>
      <c r="C118" s="1046"/>
      <c r="D118" s="1046"/>
      <c r="E118" s="1046"/>
      <c r="F118" s="358"/>
      <c r="G118" s="1043"/>
      <c r="H118" s="344"/>
      <c r="I118" s="344"/>
      <c r="J118" s="344"/>
      <c r="K118" s="344"/>
      <c r="L118" s="344"/>
      <c r="M118" s="344"/>
      <c r="N118" s="344"/>
      <c r="O118" s="344"/>
      <c r="P118" s="344"/>
      <c r="Q118" s="344"/>
      <c r="R118" s="344"/>
      <c r="S118" s="358"/>
      <c r="T118" s="358"/>
      <c r="U118" s="913"/>
      <c r="V118" s="913"/>
      <c r="W118" s="913"/>
      <c r="X118" s="913"/>
      <c r="Y118" s="913"/>
      <c r="Z118" s="913"/>
      <c r="AA118" s="913"/>
      <c r="AB118" s="913"/>
      <c r="AC118" s="913"/>
      <c r="AD118" s="913"/>
      <c r="AE118" s="913"/>
      <c r="AF118" s="64"/>
      <c r="AG118" s="64"/>
      <c r="AH118" s="981"/>
      <c r="AI118" s="981"/>
      <c r="AJ118" s="915"/>
      <c r="AK118" s="915"/>
      <c r="AL118" s="915"/>
      <c r="AM118" s="915"/>
      <c r="AN118" s="915"/>
      <c r="AO118" s="915"/>
      <c r="AP118" s="915"/>
    </row>
    <row r="119" spans="1:42">
      <c r="A119" s="989"/>
      <c r="B119" s="981"/>
      <c r="C119" s="1042" t="s">
        <v>41</v>
      </c>
      <c r="D119" s="1042" t="s">
        <v>805</v>
      </c>
      <c r="E119" s="1042" t="s">
        <v>43</v>
      </c>
      <c r="F119" s="1817"/>
      <c r="G119" s="1818"/>
      <c r="H119" s="344"/>
      <c r="I119" s="344"/>
      <c r="J119" s="344"/>
      <c r="K119" s="344"/>
      <c r="L119" s="344"/>
      <c r="M119" s="344"/>
      <c r="N119" s="344"/>
      <c r="O119" s="344"/>
      <c r="P119" s="344"/>
      <c r="Q119" s="344"/>
      <c r="R119" s="344"/>
      <c r="S119" s="358"/>
      <c r="T119" s="358"/>
      <c r="U119" s="913"/>
      <c r="V119" s="913"/>
      <c r="W119" s="913"/>
      <c r="X119" s="913"/>
      <c r="Y119" s="913"/>
      <c r="Z119" s="913"/>
      <c r="AA119" s="913"/>
      <c r="AB119" s="913"/>
      <c r="AC119" s="913"/>
      <c r="AD119" s="913"/>
      <c r="AE119" s="913"/>
      <c r="AF119" s="64"/>
      <c r="AG119" s="64"/>
      <c r="AH119" s="981"/>
      <c r="AI119" s="981"/>
      <c r="AJ119" s="344"/>
      <c r="AK119" s="344"/>
      <c r="AL119" s="344"/>
      <c r="AM119" s="344"/>
      <c r="AN119" s="344"/>
      <c r="AO119" s="344"/>
      <c r="AP119" s="344"/>
    </row>
    <row r="120" spans="1:42">
      <c r="A120" s="5663" t="s">
        <v>103</v>
      </c>
      <c r="B120" s="5663"/>
      <c r="C120" s="1042" t="s">
        <v>242</v>
      </c>
      <c r="D120" s="1042" t="s">
        <v>806</v>
      </c>
      <c r="E120" s="1042" t="s">
        <v>50</v>
      </c>
      <c r="F120" s="1817"/>
      <c r="G120" s="1819"/>
      <c r="H120" s="344"/>
      <c r="I120" s="344"/>
      <c r="J120" s="344"/>
      <c r="K120" s="344"/>
      <c r="L120" s="344"/>
      <c r="M120" s="344"/>
      <c r="N120" s="344"/>
      <c r="O120" s="344"/>
      <c r="P120" s="344"/>
      <c r="Q120" s="344"/>
      <c r="R120" s="344"/>
      <c r="S120" s="358"/>
      <c r="T120" s="358"/>
      <c r="U120" s="913"/>
      <c r="V120" s="913"/>
      <c r="W120" s="913"/>
      <c r="X120" s="913"/>
      <c r="Y120" s="913"/>
      <c r="Z120" s="913"/>
      <c r="AA120" s="913"/>
      <c r="AB120" s="913"/>
      <c r="AC120" s="913"/>
      <c r="AD120" s="913"/>
      <c r="AE120" s="913"/>
      <c r="AF120" s="64"/>
      <c r="AG120" s="64"/>
      <c r="AH120" s="981"/>
      <c r="AI120" s="981"/>
      <c r="AJ120" s="344"/>
      <c r="AK120" s="344"/>
      <c r="AL120" s="344"/>
      <c r="AM120" s="344"/>
      <c r="AN120" s="344"/>
      <c r="AO120" s="344"/>
      <c r="AP120" s="344"/>
    </row>
    <row r="121" spans="1:42">
      <c r="A121" s="1820"/>
      <c r="B121" s="1001" t="s">
        <v>274</v>
      </c>
      <c r="C121" s="1052">
        <v>375</v>
      </c>
      <c r="D121" s="1046">
        <v>1</v>
      </c>
      <c r="E121" s="1046"/>
      <c r="F121" s="1821"/>
      <c r="G121" s="1819"/>
      <c r="H121" s="344"/>
      <c r="I121" s="344"/>
      <c r="J121" s="344"/>
      <c r="K121" s="344"/>
      <c r="L121" s="344"/>
      <c r="M121" s="344"/>
      <c r="N121" s="344"/>
      <c r="O121" s="344"/>
      <c r="P121" s="344"/>
      <c r="Q121" s="344"/>
      <c r="R121" s="344"/>
      <c r="S121" s="358"/>
      <c r="T121" s="358"/>
      <c r="U121" s="913"/>
      <c r="V121" s="913"/>
      <c r="W121" s="913"/>
      <c r="X121" s="913"/>
      <c r="Y121" s="913"/>
      <c r="Z121" s="913"/>
      <c r="AA121" s="913"/>
      <c r="AB121" s="913"/>
      <c r="AC121" s="913"/>
      <c r="AD121" s="913"/>
      <c r="AE121" s="913"/>
      <c r="AF121" s="64"/>
      <c r="AG121" s="64"/>
      <c r="AH121" s="981"/>
      <c r="AI121" s="981"/>
      <c r="AJ121" s="344"/>
      <c r="AK121" s="344"/>
      <c r="AL121" s="344"/>
      <c r="AM121" s="344"/>
      <c r="AN121" s="344"/>
      <c r="AO121" s="344"/>
      <c r="AP121" s="344"/>
    </row>
    <row r="122" spans="1:42">
      <c r="A122" s="1820"/>
      <c r="B122" s="1001" t="s">
        <v>275</v>
      </c>
      <c r="C122" s="1052">
        <v>370</v>
      </c>
      <c r="D122" s="1046">
        <v>1</v>
      </c>
      <c r="E122" s="1046">
        <v>16</v>
      </c>
      <c r="F122" s="1822"/>
      <c r="G122" s="1823"/>
      <c r="H122" s="344"/>
      <c r="I122" s="344"/>
      <c r="J122" s="344"/>
      <c r="K122" s="344"/>
      <c r="L122" s="344"/>
      <c r="M122" s="344"/>
      <c r="N122" s="344"/>
      <c r="O122" s="344"/>
      <c r="P122" s="344"/>
      <c r="Q122" s="344"/>
      <c r="R122" s="344"/>
      <c r="S122" s="358"/>
      <c r="T122" s="358"/>
      <c r="U122" s="388"/>
      <c r="V122" s="388"/>
      <c r="W122" s="388"/>
      <c r="X122" s="388"/>
      <c r="Y122" s="388"/>
      <c r="Z122" s="981"/>
      <c r="AA122" s="64"/>
      <c r="AB122" s="64"/>
      <c r="AC122" s="64"/>
      <c r="AD122" s="64"/>
      <c r="AE122" s="64"/>
      <c r="AF122" s="64"/>
      <c r="AG122" s="64"/>
      <c r="AH122" s="981"/>
      <c r="AI122" s="981"/>
      <c r="AJ122" s="344"/>
      <c r="AK122" s="344"/>
      <c r="AL122" s="344"/>
      <c r="AM122" s="344"/>
      <c r="AN122" s="344"/>
      <c r="AO122" s="344"/>
      <c r="AP122" s="344"/>
    </row>
    <row r="123" spans="1:42">
      <c r="A123" s="1820"/>
      <c r="B123" s="1051" t="s">
        <v>276</v>
      </c>
      <c r="C123" s="1054">
        <v>370</v>
      </c>
      <c r="D123" s="1055">
        <v>1</v>
      </c>
      <c r="E123" s="1054">
        <v>45</v>
      </c>
      <c r="F123" s="1822"/>
      <c r="G123" s="1823"/>
      <c r="H123" s="344"/>
      <c r="I123" s="344"/>
      <c r="J123" s="344"/>
      <c r="K123" s="344"/>
      <c r="L123" s="344"/>
      <c r="M123" s="344"/>
      <c r="N123" s="344"/>
      <c r="O123" s="344"/>
      <c r="P123" s="344"/>
      <c r="Q123" s="344"/>
      <c r="R123" s="344"/>
      <c r="S123" s="358"/>
      <c r="T123" s="358"/>
      <c r="U123" s="388"/>
      <c r="V123" s="388"/>
      <c r="W123" s="388"/>
      <c r="X123" s="388"/>
      <c r="Y123" s="388"/>
      <c r="Z123" s="981"/>
      <c r="AA123" s="64"/>
      <c r="AB123" s="64"/>
      <c r="AC123" s="64"/>
      <c r="AD123" s="64"/>
      <c r="AE123" s="64"/>
      <c r="AF123" s="64"/>
      <c r="AG123" s="64"/>
      <c r="AH123" s="981"/>
      <c r="AI123" s="981"/>
      <c r="AJ123" s="344"/>
      <c r="AK123" s="344"/>
      <c r="AL123" s="344"/>
      <c r="AM123" s="344"/>
      <c r="AN123" s="344"/>
      <c r="AO123" s="344"/>
      <c r="AP123" s="344"/>
    </row>
    <row r="124" spans="1:42">
      <c r="A124" s="1820"/>
      <c r="B124" s="1051" t="s">
        <v>277</v>
      </c>
      <c r="C124" s="1054">
        <v>370</v>
      </c>
      <c r="D124" s="1055">
        <v>1</v>
      </c>
      <c r="E124" s="1054">
        <v>90</v>
      </c>
      <c r="F124" s="1822"/>
      <c r="G124" s="1823"/>
      <c r="H124" s="344"/>
      <c r="I124" s="344"/>
      <c r="J124" s="344"/>
      <c r="K124" s="344"/>
      <c r="L124" s="344"/>
      <c r="M124" s="913"/>
      <c r="N124" s="344"/>
      <c r="O124" s="344"/>
      <c r="P124" s="344"/>
      <c r="Q124" s="344"/>
      <c r="R124" s="344"/>
      <c r="S124" s="358"/>
      <c r="T124" s="358"/>
      <c r="U124" s="388"/>
      <c r="V124" s="388"/>
      <c r="W124" s="388"/>
      <c r="X124" s="388"/>
      <c r="Y124" s="388"/>
      <c r="Z124" s="981"/>
      <c r="AA124" s="64"/>
      <c r="AB124" s="64"/>
      <c r="AC124" s="64"/>
      <c r="AD124" s="64"/>
      <c r="AE124" s="64"/>
      <c r="AF124" s="64"/>
      <c r="AG124" s="64"/>
      <c r="AH124" s="981"/>
      <c r="AI124" s="981"/>
      <c r="AJ124" s="344"/>
      <c r="AK124" s="344"/>
      <c r="AL124" s="344"/>
      <c r="AM124" s="344"/>
      <c r="AN124" s="344"/>
      <c r="AO124" s="344"/>
      <c r="AP124" s="344"/>
    </row>
    <row r="125" spans="1:42">
      <c r="A125" s="1820"/>
      <c r="B125" s="1050" t="s">
        <v>279</v>
      </c>
      <c r="C125" s="1052">
        <f>0.8*375</f>
        <v>300</v>
      </c>
      <c r="D125" s="1046">
        <v>0.95</v>
      </c>
      <c r="E125" s="1052">
        <v>10</v>
      </c>
      <c r="F125" s="1822"/>
      <c r="G125" s="1823"/>
      <c r="H125" s="344"/>
      <c r="I125" s="344"/>
      <c r="J125" s="344"/>
      <c r="K125" s="344"/>
      <c r="L125" s="344"/>
      <c r="M125" s="344"/>
      <c r="N125" s="344"/>
      <c r="O125" s="344"/>
      <c r="P125" s="344"/>
      <c r="Q125" s="344"/>
      <c r="R125" s="344"/>
      <c r="S125" s="358"/>
      <c r="T125" s="358"/>
      <c r="U125" s="388"/>
      <c r="V125" s="388"/>
      <c r="W125" s="388"/>
      <c r="X125" s="388"/>
      <c r="Y125" s="388"/>
      <c r="Z125" s="981"/>
      <c r="AA125" s="64"/>
      <c r="AB125" s="64"/>
      <c r="AC125" s="64"/>
      <c r="AD125" s="64"/>
      <c r="AE125" s="64"/>
      <c r="AF125" s="64"/>
      <c r="AG125" s="64"/>
      <c r="AH125" s="981"/>
      <c r="AI125" s="981"/>
      <c r="AJ125" s="344"/>
      <c r="AK125" s="344"/>
      <c r="AL125" s="344"/>
      <c r="AM125" s="344"/>
      <c r="AN125" s="344"/>
      <c r="AO125" s="344"/>
      <c r="AP125" s="344"/>
    </row>
    <row r="126" spans="1:42">
      <c r="A126" s="1820"/>
      <c r="B126" s="3584" t="s">
        <v>810</v>
      </c>
      <c r="C126" s="3585">
        <v>380</v>
      </c>
      <c r="D126" s="3586">
        <v>0</v>
      </c>
      <c r="E126" s="3586">
        <v>30</v>
      </c>
      <c r="F126" s="5489" t="s">
        <v>291</v>
      </c>
      <c r="G126" s="5490"/>
      <c r="H126" s="344"/>
      <c r="I126" s="344"/>
      <c r="J126" s="344"/>
      <c r="K126" s="344"/>
      <c r="L126" s="344"/>
      <c r="M126" s="344"/>
      <c r="N126" s="344"/>
      <c r="O126" s="344"/>
      <c r="P126" s="344"/>
      <c r="Q126" s="344"/>
      <c r="R126" s="344"/>
      <c r="S126" s="358"/>
      <c r="T126" s="358"/>
      <c r="U126" s="388"/>
      <c r="V126" s="388"/>
      <c r="W126" s="388"/>
      <c r="X126" s="388"/>
      <c r="Y126" s="388"/>
      <c r="Z126" s="981"/>
      <c r="AA126" s="64"/>
      <c r="AB126" s="64"/>
      <c r="AC126" s="64"/>
      <c r="AD126" s="64"/>
      <c r="AE126" s="64"/>
      <c r="AF126" s="64"/>
      <c r="AG126" s="64"/>
      <c r="AH126" s="981"/>
      <c r="AI126" s="981"/>
      <c r="AJ126" s="344"/>
      <c r="AK126" s="344"/>
      <c r="AL126" s="344"/>
      <c r="AM126" s="344"/>
      <c r="AN126" s="344"/>
      <c r="AO126" s="344"/>
      <c r="AP126" s="344"/>
    </row>
    <row r="127" spans="1:42">
      <c r="A127" s="1824"/>
      <c r="B127" s="1825"/>
      <c r="C127" s="1826"/>
      <c r="D127" s="1826"/>
      <c r="E127" s="1827"/>
      <c r="F127" s="1827"/>
      <c r="G127" s="1828"/>
      <c r="H127" s="344"/>
      <c r="I127" s="344"/>
      <c r="J127" s="344"/>
      <c r="K127" s="344"/>
      <c r="L127" s="344"/>
      <c r="M127" s="344"/>
      <c r="N127" s="344"/>
      <c r="O127" s="344"/>
      <c r="P127" s="344"/>
      <c r="Q127" s="344"/>
      <c r="R127" s="344"/>
      <c r="S127" s="358"/>
      <c r="T127" s="358"/>
      <c r="U127" s="388"/>
      <c r="V127" s="388"/>
      <c r="W127" s="388"/>
      <c r="X127" s="388"/>
      <c r="Y127" s="388"/>
      <c r="Z127" s="981"/>
      <c r="AA127" s="64"/>
      <c r="AB127" s="64"/>
      <c r="AC127" s="64"/>
      <c r="AD127" s="64"/>
      <c r="AE127" s="64"/>
      <c r="AF127" s="64"/>
      <c r="AG127" s="64"/>
      <c r="AH127" s="981"/>
      <c r="AI127" s="981"/>
      <c r="AJ127" s="344"/>
      <c r="AK127" s="344"/>
      <c r="AL127" s="344"/>
      <c r="AM127" s="344"/>
      <c r="AN127" s="344"/>
      <c r="AO127" s="344"/>
      <c r="AP127" s="344"/>
    </row>
    <row r="128" spans="1:42">
      <c r="A128" s="344"/>
      <c r="B128" s="344"/>
      <c r="C128" s="344"/>
      <c r="D128" s="344"/>
      <c r="E128" s="344"/>
      <c r="F128" s="344"/>
      <c r="G128" s="344"/>
      <c r="H128" s="344"/>
      <c r="I128" s="344"/>
      <c r="J128" s="344"/>
      <c r="K128" s="344"/>
      <c r="L128" s="344"/>
      <c r="M128" s="344"/>
      <c r="N128" s="344"/>
      <c r="O128" s="344"/>
      <c r="P128" s="344"/>
      <c r="Q128" s="344"/>
      <c r="R128" s="344"/>
      <c r="S128" s="358"/>
      <c r="T128" s="358"/>
      <c r="U128" s="388"/>
      <c r="V128" s="388"/>
      <c r="W128" s="388"/>
      <c r="X128" s="388"/>
      <c r="Y128" s="388"/>
      <c r="Z128" s="981"/>
      <c r="AA128" s="64"/>
      <c r="AB128" s="64"/>
      <c r="AC128" s="64"/>
      <c r="AD128" s="64"/>
      <c r="AE128" s="64"/>
      <c r="AF128" s="64"/>
      <c r="AG128" s="64"/>
      <c r="AH128" s="981"/>
      <c r="AI128" s="981"/>
      <c r="AJ128" s="344"/>
      <c r="AK128" s="344"/>
      <c r="AL128" s="344"/>
      <c r="AM128" s="344"/>
      <c r="AN128" s="344"/>
      <c r="AO128" s="344"/>
      <c r="AP128" s="344"/>
    </row>
    <row r="129" spans="1:42">
      <c r="A129" s="1829"/>
      <c r="B129" s="1830" t="s">
        <v>407</v>
      </c>
      <c r="C129" s="1056" t="s">
        <v>41</v>
      </c>
      <c r="D129" s="1056" t="s">
        <v>805</v>
      </c>
      <c r="E129" s="1056" t="s">
        <v>43</v>
      </c>
      <c r="F129" s="1831"/>
      <c r="G129" s="1832"/>
      <c r="H129" s="344"/>
      <c r="I129" s="344"/>
      <c r="J129" s="344"/>
      <c r="K129" s="344"/>
      <c r="L129" s="344"/>
      <c r="M129" s="344"/>
      <c r="N129" s="344"/>
      <c r="O129" s="344"/>
      <c r="P129" s="344"/>
      <c r="Q129" s="344"/>
      <c r="R129" s="344"/>
      <c r="S129" s="358"/>
      <c r="T129" s="358"/>
      <c r="U129" s="388"/>
      <c r="V129" s="388"/>
      <c r="W129" s="388"/>
      <c r="X129" s="388"/>
      <c r="Y129" s="388"/>
      <c r="Z129" s="981"/>
      <c r="AA129" s="64"/>
      <c r="AB129" s="64"/>
      <c r="AC129" s="64"/>
      <c r="AD129" s="64"/>
      <c r="AE129" s="64"/>
      <c r="AF129" s="64"/>
      <c r="AG129" s="64"/>
      <c r="AH129" s="981"/>
      <c r="AI129" s="981"/>
      <c r="AJ129" s="344"/>
      <c r="AK129" s="344"/>
      <c r="AL129" s="344"/>
      <c r="AM129" s="344"/>
      <c r="AN129" s="344"/>
      <c r="AO129" s="344"/>
      <c r="AP129" s="344"/>
    </row>
    <row r="130" spans="1:42">
      <c r="A130" s="5663" t="s">
        <v>103</v>
      </c>
      <c r="B130" s="5663"/>
      <c r="C130" s="1042" t="s">
        <v>242</v>
      </c>
      <c r="D130" s="1042" t="s">
        <v>806</v>
      </c>
      <c r="E130" s="1042" t="s">
        <v>50</v>
      </c>
      <c r="F130" s="934"/>
      <c r="G130" s="1833"/>
      <c r="H130" s="344"/>
      <c r="I130" s="344"/>
      <c r="J130" s="344"/>
      <c r="K130" s="344"/>
      <c r="L130" s="344"/>
      <c r="M130" s="344"/>
      <c r="N130" s="344"/>
      <c r="O130" s="344"/>
      <c r="P130" s="344"/>
      <c r="Q130" s="344"/>
      <c r="R130" s="344"/>
      <c r="S130" s="358"/>
      <c r="T130" s="358"/>
      <c r="U130" s="388"/>
      <c r="V130" s="388"/>
      <c r="W130" s="388"/>
      <c r="X130" s="388"/>
      <c r="Y130" s="388"/>
      <c r="Z130" s="981"/>
      <c r="AA130" s="64"/>
      <c r="AB130" s="64"/>
      <c r="AC130" s="64"/>
      <c r="AD130" s="64"/>
      <c r="AE130" s="64"/>
      <c r="AF130" s="64"/>
      <c r="AG130" s="64"/>
      <c r="AH130" s="981"/>
      <c r="AI130" s="981"/>
      <c r="AJ130" s="344"/>
      <c r="AK130" s="344"/>
      <c r="AL130" s="344"/>
      <c r="AM130" s="344"/>
      <c r="AN130" s="344"/>
      <c r="AO130" s="344"/>
      <c r="AP130" s="344"/>
    </row>
    <row r="131" spans="1:42">
      <c r="A131" s="1820"/>
      <c r="B131" s="1001" t="s">
        <v>274</v>
      </c>
      <c r="C131" s="1052">
        <v>375</v>
      </c>
      <c r="D131" s="1046">
        <v>1</v>
      </c>
      <c r="E131" s="1046"/>
      <c r="F131" s="386"/>
      <c r="G131" s="1833"/>
      <c r="H131" s="344"/>
      <c r="I131" s="344"/>
      <c r="J131" s="344"/>
      <c r="K131" s="344"/>
      <c r="L131" s="344"/>
      <c r="M131" s="344"/>
      <c r="N131" s="344"/>
      <c r="O131" s="344"/>
      <c r="P131" s="344"/>
      <c r="Q131" s="344"/>
      <c r="R131" s="344"/>
      <c r="S131" s="358"/>
      <c r="T131" s="358"/>
      <c r="U131" s="388"/>
      <c r="V131" s="388"/>
      <c r="W131" s="388"/>
      <c r="X131" s="388"/>
      <c r="Y131" s="388"/>
      <c r="Z131" s="981"/>
      <c r="AA131" s="64"/>
      <c r="AB131" s="64"/>
      <c r="AC131" s="64"/>
      <c r="AD131" s="64"/>
      <c r="AE131" s="64"/>
      <c r="AF131" s="64"/>
      <c r="AG131" s="64"/>
      <c r="AH131" s="981"/>
      <c r="AI131" s="981"/>
      <c r="AJ131" s="344"/>
      <c r="AK131" s="344"/>
      <c r="AL131" s="344"/>
      <c r="AM131" s="344"/>
      <c r="AN131" s="344"/>
      <c r="AO131" s="344"/>
      <c r="AP131" s="344"/>
    </row>
    <row r="132" spans="1:42">
      <c r="A132" s="1820"/>
      <c r="B132" s="1051" t="s">
        <v>811</v>
      </c>
      <c r="C132" s="1054">
        <v>319</v>
      </c>
      <c r="D132" s="1055">
        <v>1</v>
      </c>
      <c r="E132" s="1054"/>
      <c r="F132" s="934"/>
      <c r="G132" s="1833"/>
      <c r="H132" s="344"/>
      <c r="I132" s="344"/>
      <c r="J132" s="344"/>
      <c r="K132" s="344"/>
      <c r="L132" s="344"/>
      <c r="M132" s="344"/>
      <c r="N132" s="344"/>
      <c r="O132" s="344"/>
      <c r="P132" s="344"/>
      <c r="Q132" s="344"/>
      <c r="R132" s="344"/>
      <c r="S132" s="358"/>
      <c r="T132" s="358"/>
      <c r="U132" s="388"/>
      <c r="V132" s="388"/>
      <c r="W132" s="388"/>
      <c r="X132" s="388"/>
      <c r="Y132" s="388"/>
      <c r="Z132" s="981"/>
      <c r="AA132" s="64"/>
      <c r="AB132" s="64"/>
      <c r="AC132" s="64"/>
      <c r="AD132" s="64"/>
      <c r="AE132" s="64"/>
      <c r="AF132" s="64"/>
      <c r="AG132" s="64"/>
      <c r="AH132" s="981"/>
      <c r="AI132" s="981"/>
      <c r="AJ132" s="344"/>
      <c r="AK132" s="344"/>
      <c r="AL132" s="344"/>
      <c r="AM132" s="344"/>
      <c r="AN132" s="344"/>
      <c r="AO132" s="344"/>
      <c r="AP132" s="344"/>
    </row>
    <row r="133" spans="1:42">
      <c r="A133" s="1820"/>
      <c r="B133" s="1001" t="s">
        <v>275</v>
      </c>
      <c r="C133" s="1052">
        <v>370</v>
      </c>
      <c r="D133" s="1046">
        <v>1</v>
      </c>
      <c r="E133" s="1046">
        <v>16</v>
      </c>
      <c r="F133" s="934"/>
      <c r="G133" s="1833"/>
      <c r="H133" s="344"/>
      <c r="I133" s="344"/>
      <c r="J133" s="344"/>
      <c r="K133" s="344"/>
      <c r="L133" s="344"/>
      <c r="M133" s="344"/>
      <c r="N133" s="344"/>
      <c r="O133" s="344"/>
      <c r="P133" s="344"/>
      <c r="Q133" s="344"/>
      <c r="R133" s="344"/>
      <c r="S133" s="358"/>
      <c r="T133" s="358"/>
      <c r="U133" s="388"/>
      <c r="V133" s="388"/>
      <c r="W133" s="388"/>
      <c r="X133" s="388"/>
      <c r="Y133" s="388"/>
      <c r="Z133" s="981"/>
      <c r="AA133" s="64"/>
      <c r="AB133" s="64"/>
      <c r="AC133" s="64"/>
      <c r="AD133" s="64"/>
      <c r="AE133" s="64"/>
      <c r="AF133" s="64"/>
      <c r="AG133" s="64"/>
      <c r="AH133" s="981"/>
      <c r="AI133" s="981"/>
      <c r="AJ133" s="344"/>
      <c r="AK133" s="344"/>
      <c r="AL133" s="344"/>
      <c r="AM133" s="344"/>
      <c r="AN133" s="344"/>
      <c r="AO133" s="344"/>
      <c r="AP133" s="344"/>
    </row>
    <row r="134" spans="1:42">
      <c r="A134" s="1820"/>
      <c r="B134" s="1051" t="s">
        <v>276</v>
      </c>
      <c r="C134" s="1054">
        <v>370</v>
      </c>
      <c r="D134" s="1055">
        <v>1</v>
      </c>
      <c r="E134" s="1054">
        <v>45</v>
      </c>
      <c r="F134" s="934"/>
      <c r="G134" s="1833"/>
      <c r="H134" s="344"/>
      <c r="I134" s="344"/>
      <c r="J134" s="344"/>
      <c r="K134" s="344"/>
      <c r="L134" s="344"/>
      <c r="M134" s="344"/>
      <c r="N134" s="344"/>
      <c r="O134" s="344"/>
      <c r="P134" s="344"/>
      <c r="Q134" s="344"/>
      <c r="R134" s="344"/>
      <c r="S134" s="358"/>
      <c r="T134" s="358"/>
      <c r="U134" s="388"/>
      <c r="V134" s="388"/>
      <c r="W134" s="388"/>
      <c r="X134" s="388"/>
      <c r="Y134" s="388"/>
      <c r="Z134" s="981"/>
      <c r="AA134" s="64"/>
      <c r="AB134" s="64"/>
      <c r="AC134" s="64"/>
      <c r="AD134" s="64"/>
      <c r="AE134" s="64"/>
      <c r="AF134" s="64"/>
      <c r="AG134" s="64"/>
      <c r="AH134" s="981"/>
      <c r="AI134" s="981"/>
      <c r="AJ134" s="344"/>
      <c r="AK134" s="344"/>
      <c r="AL134" s="344"/>
      <c r="AM134" s="344"/>
      <c r="AN134" s="344"/>
      <c r="AO134" s="344"/>
      <c r="AP134" s="344"/>
    </row>
    <row r="135" spans="1:42">
      <c r="A135" s="1820"/>
      <c r="B135" s="1051" t="s">
        <v>277</v>
      </c>
      <c r="C135" s="1054">
        <v>370</v>
      </c>
      <c r="D135" s="1055">
        <v>1</v>
      </c>
      <c r="E135" s="1054">
        <v>90</v>
      </c>
      <c r="F135" s="934"/>
      <c r="G135" s="1833"/>
      <c r="H135" s="344"/>
      <c r="I135" s="344"/>
      <c r="J135" s="344"/>
      <c r="K135" s="344"/>
      <c r="L135" s="344"/>
      <c r="M135" s="344"/>
      <c r="N135" s="344"/>
      <c r="O135" s="344"/>
      <c r="P135" s="344"/>
      <c r="Q135" s="344"/>
      <c r="R135" s="344"/>
      <c r="S135" s="358"/>
      <c r="T135" s="358"/>
      <c r="U135" s="388"/>
      <c r="V135" s="388"/>
      <c r="W135" s="388"/>
      <c r="X135" s="388"/>
      <c r="Y135" s="388"/>
      <c r="Z135" s="981"/>
      <c r="AA135" s="64"/>
      <c r="AB135" s="64"/>
      <c r="AC135" s="64"/>
      <c r="AD135" s="64"/>
      <c r="AE135" s="64"/>
      <c r="AF135" s="64"/>
      <c r="AG135" s="64"/>
      <c r="AH135" s="981"/>
      <c r="AI135" s="981"/>
      <c r="AJ135" s="344"/>
      <c r="AK135" s="344"/>
      <c r="AL135" s="344"/>
      <c r="AM135" s="344"/>
      <c r="AN135" s="344"/>
      <c r="AO135" s="344"/>
      <c r="AP135" s="344"/>
    </row>
    <row r="136" spans="1:42">
      <c r="A136" s="1820"/>
      <c r="B136" s="1001" t="s">
        <v>278</v>
      </c>
      <c r="C136" s="1052">
        <v>319</v>
      </c>
      <c r="D136" s="1046">
        <v>1</v>
      </c>
      <c r="E136" s="1046"/>
      <c r="F136" s="934"/>
      <c r="G136" s="1833"/>
      <c r="H136" s="344"/>
      <c r="I136" s="344"/>
      <c r="J136" s="344"/>
      <c r="K136" s="344"/>
      <c r="L136" s="344"/>
      <c r="M136" s="344"/>
      <c r="N136" s="344"/>
      <c r="O136" s="344"/>
      <c r="P136" s="344"/>
      <c r="Q136" s="344"/>
      <c r="R136" s="344"/>
      <c r="S136" s="358"/>
      <c r="T136" s="358"/>
      <c r="U136" s="388"/>
      <c r="V136" s="388"/>
      <c r="W136" s="388"/>
      <c r="X136" s="388"/>
      <c r="Y136" s="388"/>
      <c r="Z136" s="981"/>
      <c r="AA136" s="64"/>
      <c r="AB136" s="64"/>
      <c r="AC136" s="64"/>
      <c r="AD136" s="64"/>
      <c r="AE136" s="64"/>
      <c r="AF136" s="64"/>
      <c r="AG136" s="64"/>
      <c r="AH136" s="981"/>
      <c r="AI136" s="981"/>
      <c r="AJ136" s="344"/>
      <c r="AK136" s="344"/>
      <c r="AL136" s="344"/>
      <c r="AM136" s="344"/>
      <c r="AN136" s="344"/>
      <c r="AO136" s="344"/>
      <c r="AP136" s="344"/>
    </row>
    <row r="137" spans="1:42">
      <c r="A137" s="1820"/>
      <c r="B137" s="1050" t="s">
        <v>279</v>
      </c>
      <c r="C137" s="1052">
        <f>0.8*375</f>
        <v>300</v>
      </c>
      <c r="D137" s="1046">
        <v>0.95</v>
      </c>
      <c r="E137" s="1052">
        <v>10</v>
      </c>
      <c r="F137" s="934"/>
      <c r="G137" s="1833"/>
      <c r="H137" s="344"/>
      <c r="I137" s="344"/>
      <c r="J137" s="344"/>
      <c r="K137" s="344"/>
      <c r="L137" s="344"/>
      <c r="M137" s="344"/>
      <c r="N137" s="344"/>
      <c r="O137" s="344"/>
      <c r="P137" s="344"/>
      <c r="Q137" s="344"/>
      <c r="R137" s="344"/>
      <c r="S137" s="358"/>
      <c r="T137" s="358"/>
      <c r="U137" s="388"/>
      <c r="V137" s="388"/>
      <c r="W137" s="388"/>
      <c r="X137" s="388"/>
      <c r="Y137" s="388"/>
      <c r="Z137" s="981"/>
      <c r="AA137" s="64"/>
      <c r="AB137" s="64"/>
      <c r="AC137" s="64"/>
      <c r="AD137" s="64"/>
      <c r="AE137" s="64"/>
      <c r="AF137" s="64"/>
      <c r="AG137" s="64"/>
      <c r="AH137" s="981"/>
      <c r="AI137" s="981"/>
      <c r="AJ137" s="344"/>
      <c r="AK137" s="344"/>
      <c r="AL137" s="344"/>
      <c r="AM137" s="344"/>
      <c r="AN137" s="344"/>
      <c r="AO137" s="344"/>
      <c r="AP137" s="344"/>
    </row>
    <row r="138" spans="1:42">
      <c r="A138" s="1834"/>
      <c r="B138" s="1835"/>
      <c r="C138" s="1835"/>
      <c r="D138" s="1835"/>
      <c r="E138" s="1835"/>
      <c r="F138" s="945"/>
      <c r="G138" s="1833"/>
      <c r="H138" s="344"/>
      <c r="I138" s="344"/>
      <c r="J138" s="344"/>
      <c r="K138" s="344"/>
      <c r="L138" s="344"/>
      <c r="M138" s="344"/>
      <c r="N138" s="344"/>
      <c r="O138" s="344"/>
      <c r="P138" s="344"/>
      <c r="Q138" s="344"/>
      <c r="R138" s="344"/>
      <c r="S138" s="358"/>
      <c r="T138" s="358"/>
      <c r="U138" s="388"/>
      <c r="V138" s="388"/>
      <c r="W138" s="388"/>
      <c r="X138" s="388"/>
      <c r="Y138" s="388"/>
      <c r="Z138" s="981"/>
      <c r="AA138" s="64"/>
      <c r="AB138" s="64"/>
      <c r="AC138" s="64"/>
      <c r="AD138" s="64"/>
      <c r="AE138" s="64"/>
      <c r="AF138" s="64"/>
      <c r="AG138" s="64"/>
      <c r="AH138" s="981"/>
      <c r="AI138" s="981"/>
      <c r="AJ138" s="344"/>
      <c r="AK138" s="344"/>
      <c r="AL138" s="344"/>
      <c r="AM138" s="344"/>
      <c r="AN138" s="344"/>
      <c r="AO138" s="344"/>
      <c r="AP138" s="344"/>
    </row>
    <row r="139" spans="1:42">
      <c r="A139" s="1816"/>
      <c r="B139" s="1051" t="s">
        <v>598</v>
      </c>
      <c r="C139" s="1054">
        <v>373</v>
      </c>
      <c r="D139" s="1055">
        <v>1</v>
      </c>
      <c r="E139" s="1055"/>
      <c r="F139" s="945" t="s">
        <v>281</v>
      </c>
      <c r="G139" s="1833"/>
      <c r="H139" s="344"/>
      <c r="I139" s="344"/>
      <c r="J139" s="344"/>
      <c r="K139" s="344"/>
      <c r="L139" s="344"/>
      <c r="M139" s="344"/>
      <c r="N139" s="344"/>
      <c r="O139" s="344"/>
      <c r="P139" s="344"/>
      <c r="Q139" s="344"/>
      <c r="R139" s="344"/>
      <c r="S139" s="358"/>
      <c r="T139" s="358"/>
      <c r="U139" s="388"/>
      <c r="V139" s="388"/>
      <c r="W139" s="388"/>
      <c r="X139" s="388"/>
      <c r="Y139" s="388"/>
      <c r="Z139" s="981"/>
      <c r="AA139" s="64"/>
      <c r="AB139" s="64"/>
      <c r="AC139" s="64"/>
      <c r="AD139" s="64"/>
      <c r="AE139" s="64"/>
      <c r="AF139" s="64"/>
      <c r="AG139" s="64"/>
      <c r="AH139" s="981"/>
      <c r="AI139" s="981"/>
      <c r="AJ139" s="344"/>
      <c r="AK139" s="344"/>
      <c r="AL139" s="344"/>
      <c r="AM139" s="344"/>
      <c r="AN139" s="344"/>
      <c r="AO139" s="344"/>
      <c r="AP139" s="344"/>
    </row>
    <row r="140" spans="1:42">
      <c r="A140" s="1834"/>
      <c r="B140" s="1051" t="s">
        <v>600</v>
      </c>
      <c r="C140" s="1054">
        <v>373</v>
      </c>
      <c r="D140" s="1055">
        <v>1</v>
      </c>
      <c r="E140" s="1055">
        <v>13</v>
      </c>
      <c r="F140" s="945" t="s">
        <v>281</v>
      </c>
      <c r="G140" s="1833"/>
      <c r="H140" s="344"/>
      <c r="I140" s="344"/>
      <c r="J140" s="344"/>
      <c r="K140" s="344"/>
      <c r="L140" s="344"/>
      <c r="M140" s="344"/>
      <c r="N140" s="344"/>
      <c r="O140" s="344"/>
      <c r="P140" s="344"/>
      <c r="Q140" s="344"/>
      <c r="R140" s="344"/>
      <c r="S140" s="358"/>
      <c r="T140" s="358"/>
      <c r="U140" s="388"/>
      <c r="V140" s="388"/>
      <c r="W140" s="388"/>
      <c r="X140" s="388"/>
      <c r="Y140" s="388"/>
      <c r="Z140" s="981"/>
      <c r="AA140" s="64"/>
      <c r="AB140" s="64"/>
      <c r="AC140" s="64"/>
      <c r="AD140" s="64"/>
      <c r="AE140" s="64"/>
      <c r="AF140" s="64"/>
      <c r="AG140" s="64"/>
      <c r="AH140" s="981"/>
      <c r="AI140" s="981"/>
      <c r="AJ140" s="344"/>
      <c r="AK140" s="344"/>
      <c r="AL140" s="344"/>
      <c r="AM140" s="344"/>
      <c r="AN140" s="344"/>
      <c r="AO140" s="344"/>
      <c r="AP140" s="344"/>
    </row>
    <row r="141" spans="1:42">
      <c r="A141" s="1834"/>
      <c r="B141" s="1051" t="s">
        <v>602</v>
      </c>
      <c r="C141" s="1054">
        <v>373</v>
      </c>
      <c r="D141" s="1055">
        <v>1</v>
      </c>
      <c r="E141" s="1055">
        <v>43</v>
      </c>
      <c r="F141" s="945" t="s">
        <v>281</v>
      </c>
      <c r="G141" s="1833"/>
      <c r="H141" s="344"/>
      <c r="I141" s="344"/>
      <c r="J141" s="344"/>
      <c r="K141" s="344"/>
      <c r="L141" s="344"/>
      <c r="M141" s="344"/>
      <c r="N141" s="344"/>
      <c r="O141" s="344"/>
      <c r="P141" s="344"/>
      <c r="Q141" s="344"/>
      <c r="R141" s="344"/>
      <c r="S141" s="358"/>
      <c r="T141" s="358"/>
      <c r="U141" s="388"/>
      <c r="V141" s="388"/>
      <c r="W141" s="388"/>
      <c r="X141" s="388"/>
      <c r="Y141" s="388"/>
      <c r="Z141" s="981"/>
      <c r="AA141" s="64"/>
      <c r="AB141" s="64"/>
      <c r="AC141" s="64"/>
      <c r="AD141" s="64"/>
      <c r="AE141" s="64"/>
      <c r="AF141" s="64"/>
      <c r="AG141" s="64"/>
      <c r="AH141" s="981"/>
      <c r="AI141" s="981"/>
      <c r="AJ141" s="344"/>
      <c r="AK141" s="344"/>
      <c r="AL141" s="344"/>
      <c r="AM141" s="344"/>
      <c r="AN141" s="344"/>
      <c r="AO141" s="344"/>
      <c r="AP141" s="344"/>
    </row>
    <row r="142" spans="1:42">
      <c r="A142" s="1834"/>
      <c r="B142" s="1051"/>
      <c r="C142" s="1054"/>
      <c r="D142" s="1055"/>
      <c r="E142" s="1055"/>
      <c r="F142" s="945"/>
      <c r="G142" s="1833"/>
      <c r="H142" s="344"/>
      <c r="I142" s="344"/>
      <c r="J142" s="344"/>
      <c r="K142" s="344"/>
      <c r="L142" s="344"/>
      <c r="M142" s="344"/>
      <c r="N142" s="344"/>
      <c r="O142" s="344"/>
      <c r="P142" s="344"/>
      <c r="Q142" s="344"/>
      <c r="R142" s="344"/>
      <c r="S142" s="358"/>
      <c r="T142" s="358"/>
      <c r="U142" s="388"/>
      <c r="V142" s="388"/>
      <c r="W142" s="388"/>
      <c r="X142" s="388"/>
      <c r="Y142" s="388"/>
      <c r="Z142" s="981"/>
      <c r="AA142" s="64"/>
      <c r="AB142" s="64"/>
      <c r="AC142" s="64"/>
      <c r="AD142" s="64"/>
      <c r="AE142" s="64"/>
      <c r="AF142" s="64"/>
      <c r="AG142" s="64"/>
      <c r="AH142" s="981"/>
      <c r="AI142" s="981"/>
      <c r="AJ142" s="344"/>
      <c r="AK142" s="344"/>
      <c r="AL142" s="344"/>
      <c r="AM142" s="344"/>
      <c r="AN142" s="344"/>
      <c r="AO142" s="344"/>
      <c r="AP142" s="344"/>
    </row>
    <row r="143" spans="1:42">
      <c r="A143" s="1834"/>
      <c r="B143" s="1051" t="s">
        <v>606</v>
      </c>
      <c r="C143" s="1054">
        <v>300</v>
      </c>
      <c r="D143" s="1055">
        <v>1</v>
      </c>
      <c r="E143" s="1055">
        <v>2</v>
      </c>
      <c r="F143" s="945" t="s">
        <v>286</v>
      </c>
      <c r="G143" s="1833"/>
      <c r="H143" s="344"/>
      <c r="I143" s="344"/>
      <c r="J143" s="344"/>
      <c r="K143" s="344"/>
      <c r="L143" s="344"/>
      <c r="M143" s="344"/>
      <c r="N143" s="344"/>
      <c r="O143" s="344"/>
      <c r="P143" s="344"/>
      <c r="Q143" s="344"/>
      <c r="R143" s="344"/>
      <c r="S143" s="358"/>
      <c r="T143" s="358"/>
      <c r="U143" s="388"/>
      <c r="V143" s="388"/>
      <c r="W143" s="388"/>
      <c r="X143" s="388"/>
      <c r="Y143" s="388"/>
      <c r="Z143" s="981"/>
      <c r="AA143" s="64"/>
      <c r="AB143" s="64"/>
      <c r="AC143" s="64"/>
      <c r="AD143" s="64"/>
      <c r="AE143" s="64"/>
      <c r="AF143" s="64"/>
      <c r="AG143" s="64"/>
      <c r="AH143" s="981"/>
      <c r="AI143" s="981"/>
      <c r="AJ143" s="344"/>
      <c r="AK143" s="344"/>
      <c r="AL143" s="344"/>
      <c r="AM143" s="344"/>
      <c r="AN143" s="344"/>
      <c r="AO143" s="344"/>
      <c r="AP143" s="344"/>
    </row>
    <row r="144" spans="1:42">
      <c r="A144" s="1834"/>
      <c r="B144" s="1051" t="s">
        <v>608</v>
      </c>
      <c r="C144" s="1054">
        <v>300</v>
      </c>
      <c r="D144" s="1055">
        <v>1</v>
      </c>
      <c r="E144" s="1055">
        <v>89</v>
      </c>
      <c r="F144" s="945" t="s">
        <v>286</v>
      </c>
      <c r="G144" s="1833"/>
      <c r="H144" s="344"/>
      <c r="I144" s="344"/>
      <c r="J144" s="344"/>
      <c r="K144" s="344"/>
      <c r="L144" s="344"/>
      <c r="M144" s="344"/>
      <c r="N144" s="344"/>
      <c r="O144" s="344"/>
      <c r="P144" s="344"/>
      <c r="Q144" s="344"/>
      <c r="R144" s="344"/>
      <c r="S144" s="358"/>
      <c r="T144" s="358"/>
      <c r="U144" s="388"/>
      <c r="V144" s="388"/>
      <c r="W144" s="388"/>
      <c r="X144" s="388"/>
      <c r="Y144" s="388"/>
      <c r="Z144" s="981"/>
      <c r="AA144" s="64"/>
      <c r="AB144" s="64"/>
      <c r="AC144" s="64"/>
      <c r="AD144" s="64"/>
      <c r="AE144" s="64"/>
      <c r="AF144" s="64"/>
      <c r="AG144" s="64"/>
      <c r="AH144" s="981"/>
      <c r="AI144" s="981"/>
      <c r="AJ144" s="344"/>
      <c r="AK144" s="344"/>
      <c r="AL144" s="344"/>
      <c r="AM144" s="344"/>
      <c r="AN144" s="344"/>
      <c r="AO144" s="344"/>
      <c r="AP144" s="344"/>
    </row>
    <row r="145" spans="1:42">
      <c r="A145" s="1834"/>
      <c r="B145" s="1051" t="s">
        <v>610</v>
      </c>
      <c r="C145" s="1054">
        <v>300</v>
      </c>
      <c r="D145" s="1055">
        <v>1</v>
      </c>
      <c r="E145" s="1055">
        <v>178</v>
      </c>
      <c r="F145" s="945" t="s">
        <v>286</v>
      </c>
      <c r="G145" s="1833"/>
      <c r="H145" s="344"/>
      <c r="I145" s="344"/>
      <c r="J145" s="344"/>
      <c r="K145" s="344"/>
      <c r="L145" s="344"/>
      <c r="M145" s="344"/>
      <c r="N145" s="344"/>
      <c r="O145" s="344"/>
      <c r="P145" s="344"/>
      <c r="Q145" s="344"/>
      <c r="R145" s="344"/>
      <c r="S145" s="358"/>
      <c r="T145" s="358"/>
      <c r="U145" s="388"/>
      <c r="V145" s="388"/>
      <c r="W145" s="388"/>
      <c r="X145" s="388"/>
      <c r="Y145" s="388"/>
      <c r="Z145" s="981"/>
      <c r="AA145" s="64"/>
      <c r="AB145" s="64"/>
      <c r="AC145" s="64"/>
      <c r="AD145" s="64"/>
      <c r="AE145" s="64"/>
      <c r="AF145" s="64"/>
      <c r="AG145" s="64"/>
      <c r="AH145" s="981"/>
      <c r="AI145" s="981"/>
      <c r="AJ145" s="344"/>
      <c r="AK145" s="344"/>
      <c r="AL145" s="344"/>
      <c r="AM145" s="344"/>
      <c r="AN145" s="344"/>
      <c r="AO145" s="344"/>
      <c r="AP145" s="344"/>
    </row>
    <row r="146" spans="1:42">
      <c r="A146" s="1834"/>
      <c r="B146" s="913"/>
      <c r="C146" s="913"/>
      <c r="D146" s="913"/>
      <c r="E146" s="913"/>
      <c r="F146" s="945"/>
      <c r="G146" s="1833"/>
      <c r="H146" s="344"/>
      <c r="I146" s="344"/>
      <c r="J146" s="344"/>
      <c r="K146" s="344"/>
      <c r="L146" s="344"/>
      <c r="M146" s="344"/>
      <c r="N146" s="344"/>
      <c r="O146" s="344"/>
      <c r="P146" s="344"/>
      <c r="Q146" s="344"/>
      <c r="R146" s="344"/>
      <c r="S146" s="358"/>
      <c r="T146" s="358"/>
      <c r="U146" s="388"/>
      <c r="V146" s="388"/>
      <c r="W146" s="388"/>
      <c r="X146" s="388"/>
      <c r="Y146" s="388"/>
      <c r="Z146" s="981"/>
      <c r="AA146" s="64"/>
      <c r="AB146" s="64"/>
      <c r="AC146" s="64"/>
      <c r="AD146" s="64"/>
      <c r="AE146" s="64"/>
      <c r="AF146" s="64"/>
      <c r="AG146" s="64"/>
      <c r="AH146" s="981"/>
      <c r="AI146" s="981"/>
      <c r="AJ146" s="344"/>
      <c r="AK146" s="344"/>
      <c r="AL146" s="344"/>
      <c r="AM146" s="344"/>
      <c r="AN146" s="344"/>
      <c r="AO146" s="344"/>
      <c r="AP146" s="344"/>
    </row>
    <row r="147" spans="1:42">
      <c r="A147" s="1834"/>
      <c r="B147" s="358" t="s">
        <v>294</v>
      </c>
      <c r="C147" s="5664" t="s">
        <v>1890</v>
      </c>
      <c r="D147" s="5664"/>
      <c r="E147" s="5664"/>
      <c r="F147" s="5664"/>
      <c r="G147" s="5664"/>
      <c r="H147" s="344"/>
      <c r="I147" s="344"/>
      <c r="J147" s="344"/>
      <c r="K147" s="344"/>
      <c r="L147" s="344"/>
      <c r="M147" s="344"/>
      <c r="N147" s="344"/>
      <c r="O147" s="344"/>
      <c r="P147" s="344"/>
      <c r="Q147" s="344"/>
      <c r="R147" s="344"/>
      <c r="S147" s="358"/>
      <c r="T147" s="358"/>
      <c r="U147" s="388"/>
      <c r="V147" s="388"/>
      <c r="W147" s="388"/>
      <c r="X147" s="388"/>
      <c r="Y147" s="388"/>
      <c r="Z147" s="981"/>
      <c r="AA147" s="64"/>
      <c r="AB147" s="64"/>
      <c r="AC147" s="64"/>
      <c r="AD147" s="64"/>
      <c r="AE147" s="64"/>
      <c r="AF147" s="64"/>
      <c r="AG147" s="64"/>
      <c r="AH147" s="981"/>
      <c r="AI147" s="981"/>
      <c r="AJ147" s="344"/>
      <c r="AK147" s="344"/>
      <c r="AL147" s="344"/>
      <c r="AM147" s="344"/>
      <c r="AN147" s="344"/>
      <c r="AO147" s="344"/>
      <c r="AP147" s="344"/>
    </row>
    <row r="148" spans="1:42">
      <c r="A148" s="1834"/>
      <c r="B148" s="1051" t="s">
        <v>296</v>
      </c>
      <c r="C148" s="1055">
        <v>360</v>
      </c>
      <c r="D148" s="1055">
        <v>1</v>
      </c>
      <c r="E148" s="1945">
        <v>30</v>
      </c>
      <c r="F148" s="945" t="s">
        <v>281</v>
      </c>
      <c r="G148" s="1833"/>
      <c r="H148" s="344"/>
      <c r="I148" s="344"/>
      <c r="J148" s="344"/>
      <c r="K148" s="344"/>
      <c r="L148" s="344"/>
      <c r="M148" s="344"/>
      <c r="N148" s="344"/>
      <c r="O148" s="344"/>
      <c r="P148" s="344"/>
      <c r="Q148" s="344"/>
      <c r="R148" s="344"/>
      <c r="S148" s="358"/>
      <c r="T148" s="358"/>
      <c r="U148" s="388"/>
      <c r="V148" s="388"/>
      <c r="W148" s="388"/>
      <c r="X148" s="388"/>
      <c r="Y148" s="388"/>
      <c r="Z148" s="981"/>
      <c r="AA148" s="64"/>
      <c r="AB148" s="64"/>
      <c r="AC148" s="64"/>
      <c r="AD148" s="64"/>
      <c r="AE148" s="64"/>
      <c r="AF148" s="64"/>
      <c r="AG148" s="64"/>
      <c r="AH148" s="981"/>
      <c r="AI148" s="981"/>
      <c r="AJ148" s="344"/>
      <c r="AK148" s="344"/>
      <c r="AL148" s="344"/>
      <c r="AM148" s="344"/>
      <c r="AN148" s="344"/>
      <c r="AO148" s="344"/>
      <c r="AP148" s="344"/>
    </row>
    <row r="149" spans="1:42">
      <c r="A149" s="1834"/>
      <c r="B149" s="1051" t="s">
        <v>297</v>
      </c>
      <c r="C149" s="1055">
        <v>360</v>
      </c>
      <c r="D149" s="1055">
        <v>1</v>
      </c>
      <c r="E149" s="1945">
        <v>65</v>
      </c>
      <c r="F149" s="945" t="s">
        <v>281</v>
      </c>
      <c r="G149" s="1833"/>
      <c r="H149" s="344"/>
      <c r="I149" s="344"/>
      <c r="J149" s="344"/>
      <c r="K149" s="344"/>
      <c r="L149" s="344"/>
      <c r="M149" s="344"/>
      <c r="N149" s="344"/>
      <c r="O149" s="344"/>
      <c r="P149" s="344"/>
      <c r="Q149" s="344"/>
      <c r="R149" s="344"/>
      <c r="S149" s="358"/>
      <c r="T149" s="358"/>
      <c r="U149" s="388"/>
      <c r="V149" s="388"/>
      <c r="W149" s="388"/>
      <c r="X149" s="388"/>
      <c r="Y149" s="388"/>
      <c r="Z149" s="981"/>
      <c r="AA149" s="64"/>
      <c r="AB149" s="64"/>
      <c r="AC149" s="64"/>
      <c r="AD149" s="64"/>
      <c r="AE149" s="64"/>
      <c r="AF149" s="64"/>
      <c r="AG149" s="64"/>
      <c r="AH149" s="981"/>
      <c r="AI149" s="981"/>
      <c r="AJ149" s="344"/>
      <c r="AK149" s="344"/>
      <c r="AL149" s="344"/>
      <c r="AM149" s="344"/>
      <c r="AN149" s="344"/>
      <c r="AO149" s="344"/>
      <c r="AP149" s="344"/>
    </row>
    <row r="150" spans="1:42">
      <c r="A150" s="1834"/>
      <c r="B150" s="1051" t="s">
        <v>298</v>
      </c>
      <c r="C150" s="1055">
        <v>360</v>
      </c>
      <c r="D150" s="1055">
        <v>1</v>
      </c>
      <c r="E150" s="1945">
        <v>130</v>
      </c>
      <c r="F150" s="945" t="s">
        <v>281</v>
      </c>
      <c r="G150" s="1833"/>
      <c r="H150" s="344"/>
      <c r="I150" s="344"/>
      <c r="J150" s="344"/>
      <c r="K150" s="344"/>
      <c r="L150" s="344"/>
      <c r="M150" s="344"/>
      <c r="N150" s="344"/>
      <c r="O150" s="344"/>
      <c r="P150" s="344"/>
      <c r="Q150" s="344"/>
      <c r="R150" s="344"/>
      <c r="S150" s="358"/>
      <c r="T150" s="358"/>
      <c r="U150" s="388"/>
      <c r="V150" s="388"/>
      <c r="W150" s="388"/>
      <c r="X150" s="388"/>
      <c r="Y150" s="388"/>
      <c r="Z150" s="981"/>
      <c r="AA150" s="64"/>
      <c r="AB150" s="64"/>
      <c r="AC150" s="64"/>
      <c r="AD150" s="64"/>
      <c r="AE150" s="64"/>
      <c r="AF150" s="64"/>
      <c r="AG150" s="64"/>
      <c r="AH150" s="981"/>
      <c r="AI150" s="981"/>
      <c r="AJ150" s="344"/>
      <c r="AK150" s="344"/>
      <c r="AL150" s="344"/>
      <c r="AM150" s="344"/>
      <c r="AN150" s="344"/>
      <c r="AO150" s="344"/>
      <c r="AP150" s="344"/>
    </row>
    <row r="151" spans="1:42">
      <c r="A151" s="1834"/>
      <c r="B151" s="1051" t="s">
        <v>299</v>
      </c>
      <c r="C151" s="1055">
        <v>360</v>
      </c>
      <c r="D151" s="1055">
        <v>1</v>
      </c>
      <c r="E151" s="1945">
        <v>600</v>
      </c>
      <c r="F151" s="945" t="s">
        <v>281</v>
      </c>
      <c r="G151" s="1833"/>
      <c r="H151" s="344"/>
      <c r="I151" s="344"/>
      <c r="J151" s="344"/>
      <c r="K151" s="344"/>
      <c r="L151" s="344"/>
      <c r="M151" s="344"/>
      <c r="N151" s="344"/>
      <c r="O151" s="344"/>
      <c r="P151" s="344"/>
      <c r="Q151" s="344"/>
      <c r="R151" s="344"/>
      <c r="S151" s="358"/>
      <c r="T151" s="358"/>
      <c r="U151" s="388"/>
      <c r="V151" s="388"/>
      <c r="W151" s="388"/>
      <c r="X151" s="388"/>
      <c r="Y151" s="388"/>
      <c r="Z151" s="981"/>
      <c r="AA151" s="64"/>
      <c r="AB151" s="64"/>
      <c r="AC151" s="64"/>
      <c r="AD151" s="64"/>
      <c r="AE151" s="64"/>
      <c r="AF151" s="64"/>
      <c r="AG151" s="64"/>
      <c r="AH151" s="981"/>
      <c r="AI151" s="981"/>
      <c r="AJ151" s="344"/>
      <c r="AK151" s="344"/>
      <c r="AL151" s="344"/>
      <c r="AM151" s="344"/>
      <c r="AN151" s="344"/>
      <c r="AO151" s="344"/>
      <c r="AP151" s="344"/>
    </row>
    <row r="152" spans="1:42">
      <c r="A152" s="1834"/>
      <c r="B152" s="1836"/>
      <c r="C152" s="1836"/>
      <c r="D152" s="1836"/>
      <c r="E152" s="1836"/>
      <c r="F152" s="945"/>
      <c r="G152" s="1833"/>
      <c r="H152" s="344"/>
      <c r="I152" s="344"/>
      <c r="J152" s="344"/>
      <c r="K152" s="344"/>
      <c r="L152" s="344"/>
      <c r="M152" s="344"/>
      <c r="N152" s="344"/>
      <c r="O152" s="344"/>
      <c r="P152" s="344"/>
      <c r="Q152" s="344"/>
      <c r="R152" s="344"/>
      <c r="S152" s="358"/>
      <c r="T152" s="358"/>
      <c r="U152" s="388"/>
      <c r="V152" s="388"/>
      <c r="W152" s="388"/>
      <c r="X152" s="388"/>
      <c r="Y152" s="388"/>
      <c r="Z152" s="981"/>
      <c r="AA152" s="64"/>
      <c r="AB152" s="64"/>
      <c r="AC152" s="64"/>
      <c r="AD152" s="64"/>
      <c r="AE152" s="64"/>
      <c r="AF152" s="64"/>
      <c r="AG152" s="64"/>
      <c r="AH152" s="981"/>
      <c r="AI152" s="981"/>
      <c r="AJ152" s="344"/>
      <c r="AK152" s="344"/>
      <c r="AL152" s="344"/>
      <c r="AM152" s="344"/>
      <c r="AN152" s="344"/>
      <c r="AO152" s="344"/>
      <c r="AP152" s="344"/>
    </row>
    <row r="153" spans="1:42">
      <c r="A153" s="1834"/>
      <c r="B153" s="1836" t="s">
        <v>300</v>
      </c>
      <c r="C153" s="1836"/>
      <c r="D153" s="1836"/>
      <c r="E153" s="1836"/>
      <c r="F153" s="945"/>
      <c r="G153" s="1833"/>
      <c r="H153" s="344"/>
      <c r="I153" s="344"/>
      <c r="J153" s="344"/>
      <c r="K153" s="344"/>
      <c r="L153" s="344"/>
      <c r="M153" s="344"/>
      <c r="N153" s="344"/>
      <c r="O153" s="344"/>
      <c r="P153" s="344"/>
      <c r="Q153" s="344"/>
      <c r="R153" s="344"/>
      <c r="S153" s="358"/>
      <c r="T153" s="358"/>
      <c r="U153" s="388"/>
      <c r="V153" s="388"/>
      <c r="W153" s="388"/>
      <c r="X153" s="388"/>
      <c r="Y153" s="388"/>
      <c r="Z153" s="981"/>
      <c r="AA153" s="64"/>
      <c r="AB153" s="64"/>
      <c r="AC153" s="64"/>
      <c r="AD153" s="64"/>
      <c r="AE153" s="64"/>
      <c r="AF153" s="64"/>
      <c r="AG153" s="64"/>
      <c r="AH153" s="981"/>
      <c r="AI153" s="981"/>
      <c r="AJ153" s="344"/>
      <c r="AK153" s="344"/>
      <c r="AL153" s="344"/>
      <c r="AM153" s="344"/>
      <c r="AN153" s="344"/>
      <c r="AO153" s="344"/>
      <c r="AP153" s="344"/>
    </row>
    <row r="154" spans="1:42">
      <c r="A154" s="1834"/>
      <c r="B154" s="1051" t="s">
        <v>301</v>
      </c>
      <c r="C154" s="1055">
        <v>319</v>
      </c>
      <c r="D154" s="1055">
        <v>1</v>
      </c>
      <c r="E154" s="1945">
        <v>24</v>
      </c>
      <c r="F154" s="945" t="s">
        <v>286</v>
      </c>
      <c r="G154" s="1833"/>
      <c r="H154" s="344"/>
      <c r="I154" s="344"/>
      <c r="J154" s="344"/>
      <c r="K154" s="344"/>
      <c r="L154" s="344"/>
      <c r="M154" s="344"/>
      <c r="N154" s="344"/>
      <c r="O154" s="344"/>
      <c r="P154" s="344"/>
      <c r="Q154" s="344"/>
      <c r="R154" s="344"/>
      <c r="S154" s="358"/>
      <c r="T154" s="358"/>
      <c r="U154" s="388"/>
      <c r="V154" s="388"/>
      <c r="W154" s="388"/>
      <c r="X154" s="388"/>
      <c r="Y154" s="388"/>
      <c r="Z154" s="981"/>
      <c r="AA154" s="64"/>
      <c r="AB154" s="64"/>
      <c r="AC154" s="64"/>
      <c r="AD154" s="64"/>
      <c r="AE154" s="64"/>
      <c r="AF154" s="64"/>
      <c r="AG154" s="64"/>
      <c r="AH154" s="981"/>
      <c r="AI154" s="981"/>
      <c r="AJ154" s="344"/>
      <c r="AK154" s="344"/>
      <c r="AL154" s="344"/>
      <c r="AM154" s="344"/>
      <c r="AN154" s="344"/>
      <c r="AO154" s="344"/>
      <c r="AP154" s="344"/>
    </row>
    <row r="155" spans="1:42">
      <c r="A155" s="1834"/>
      <c r="B155" s="1051" t="s">
        <v>302</v>
      </c>
      <c r="C155" s="1055">
        <v>319</v>
      </c>
      <c r="D155" s="1055">
        <v>1</v>
      </c>
      <c r="E155" s="1945">
        <v>53</v>
      </c>
      <c r="F155" s="945" t="s">
        <v>286</v>
      </c>
      <c r="G155" s="1833"/>
      <c r="H155" s="344"/>
      <c r="I155" s="344"/>
      <c r="J155" s="344"/>
      <c r="K155" s="344"/>
      <c r="L155" s="344"/>
      <c r="M155" s="344"/>
      <c r="N155" s="344"/>
      <c r="O155" s="344"/>
      <c r="P155" s="344"/>
      <c r="Q155" s="344"/>
      <c r="R155" s="344"/>
      <c r="S155" s="358"/>
      <c r="T155" s="358"/>
      <c r="U155" s="388"/>
      <c r="V155" s="388"/>
      <c r="W155" s="388"/>
      <c r="X155" s="388"/>
      <c r="Y155" s="388"/>
      <c r="Z155" s="981"/>
      <c r="AA155" s="64"/>
      <c r="AB155" s="64"/>
      <c r="AC155" s="64"/>
      <c r="AD155" s="64"/>
      <c r="AE155" s="64"/>
      <c r="AF155" s="64"/>
      <c r="AG155" s="64"/>
      <c r="AH155" s="981"/>
      <c r="AI155" s="981"/>
      <c r="AJ155" s="344"/>
      <c r="AK155" s="344"/>
      <c r="AL155" s="344"/>
      <c r="AM155" s="344"/>
      <c r="AN155" s="344"/>
      <c r="AO155" s="344"/>
      <c r="AP155" s="344"/>
    </row>
    <row r="156" spans="1:42">
      <c r="A156" s="1834"/>
      <c r="B156" s="1051" t="s">
        <v>303</v>
      </c>
      <c r="C156" s="1055">
        <v>319</v>
      </c>
      <c r="D156" s="1055">
        <v>1</v>
      </c>
      <c r="E156" s="1945">
        <v>105</v>
      </c>
      <c r="F156" s="945" t="s">
        <v>286</v>
      </c>
      <c r="G156" s="1833"/>
      <c r="H156" s="344"/>
      <c r="I156" s="344"/>
      <c r="J156" s="344"/>
      <c r="K156" s="344"/>
      <c r="L156" s="344"/>
      <c r="M156" s="344"/>
      <c r="N156" s="344"/>
      <c r="O156" s="344"/>
      <c r="P156" s="344"/>
      <c r="Q156" s="344"/>
      <c r="R156" s="344"/>
      <c r="S156" s="358"/>
      <c r="T156" s="358"/>
      <c r="U156" s="388"/>
      <c r="V156" s="388"/>
      <c r="W156" s="388"/>
      <c r="X156" s="388"/>
      <c r="Y156" s="388"/>
      <c r="Z156" s="981"/>
      <c r="AA156" s="64"/>
      <c r="AB156" s="64"/>
      <c r="AC156" s="64"/>
      <c r="AD156" s="64"/>
      <c r="AE156" s="64"/>
      <c r="AF156" s="64"/>
      <c r="AG156" s="64"/>
      <c r="AH156" s="981"/>
      <c r="AI156" s="981"/>
      <c r="AJ156" s="344"/>
      <c r="AK156" s="344"/>
      <c r="AL156" s="344"/>
      <c r="AM156" s="344"/>
      <c r="AN156" s="344"/>
      <c r="AO156" s="344"/>
      <c r="AP156" s="344"/>
    </row>
    <row r="157" spans="1:42">
      <c r="A157" s="1834"/>
      <c r="B157" s="1051" t="s">
        <v>304</v>
      </c>
      <c r="C157" s="1055">
        <v>319</v>
      </c>
      <c r="D157" s="1055">
        <v>1</v>
      </c>
      <c r="E157" s="1945">
        <v>530</v>
      </c>
      <c r="F157" s="945" t="s">
        <v>286</v>
      </c>
      <c r="G157" s="1833"/>
      <c r="H157" s="344"/>
      <c r="I157" s="344"/>
      <c r="J157" s="344"/>
      <c r="K157" s="344"/>
      <c r="L157" s="344"/>
      <c r="M157" s="344"/>
      <c r="N157" s="344"/>
      <c r="O157" s="344"/>
      <c r="P157" s="344"/>
      <c r="Q157" s="344"/>
      <c r="R157" s="344"/>
      <c r="S157" s="358"/>
      <c r="T157" s="358"/>
      <c r="U157" s="388"/>
      <c r="V157" s="388"/>
      <c r="W157" s="388"/>
      <c r="X157" s="388"/>
      <c r="Y157" s="388"/>
      <c r="Z157" s="981"/>
      <c r="AA157" s="64"/>
      <c r="AB157" s="64"/>
      <c r="AC157" s="64"/>
      <c r="AD157" s="64"/>
      <c r="AE157" s="64"/>
      <c r="AF157" s="64"/>
      <c r="AG157" s="64"/>
      <c r="AH157" s="981"/>
      <c r="AI157" s="981"/>
      <c r="AJ157" s="344"/>
      <c r="AK157" s="344"/>
      <c r="AL157" s="344"/>
      <c r="AM157" s="344"/>
      <c r="AN157" s="344"/>
      <c r="AO157" s="344"/>
      <c r="AP157" s="344"/>
    </row>
    <row r="158" spans="1:42">
      <c r="A158" s="1837"/>
      <c r="B158" s="1827"/>
      <c r="C158" s="1827"/>
      <c r="D158" s="1827"/>
      <c r="E158" s="1827"/>
      <c r="F158" s="2552"/>
      <c r="G158" s="2553"/>
      <c r="H158" s="344"/>
      <c r="I158" s="344"/>
      <c r="J158" s="344"/>
      <c r="K158" s="344"/>
      <c r="L158" s="344"/>
      <c r="M158" s="344"/>
      <c r="N158" s="344"/>
      <c r="O158" s="344"/>
      <c r="P158" s="344"/>
      <c r="Q158" s="344"/>
      <c r="R158" s="344"/>
      <c r="S158" s="358"/>
      <c r="T158" s="358"/>
      <c r="U158" s="388"/>
      <c r="V158" s="388"/>
      <c r="W158" s="388"/>
      <c r="X158" s="388"/>
      <c r="Y158" s="388"/>
      <c r="Z158" s="981"/>
      <c r="AA158" s="64"/>
      <c r="AB158" s="64"/>
      <c r="AC158" s="64"/>
      <c r="AD158" s="64"/>
      <c r="AE158" s="64"/>
      <c r="AF158" s="64"/>
      <c r="AG158" s="64"/>
      <c r="AH158" s="981"/>
      <c r="AI158" s="981"/>
      <c r="AJ158" s="344"/>
      <c r="AK158" s="344"/>
      <c r="AL158" s="344"/>
      <c r="AM158" s="344"/>
      <c r="AN158" s="344"/>
      <c r="AO158" s="344"/>
      <c r="AP158" s="344"/>
    </row>
    <row r="159" spans="1:42">
      <c r="A159" s="344"/>
      <c r="B159" s="344"/>
      <c r="C159" s="344"/>
      <c r="D159" s="344"/>
      <c r="E159" s="344"/>
      <c r="F159" s="344"/>
      <c r="G159" s="344"/>
      <c r="H159" s="344"/>
      <c r="I159" s="344"/>
      <c r="J159" s="344"/>
      <c r="K159" s="344"/>
      <c r="L159" s="344"/>
      <c r="M159" s="344"/>
      <c r="N159" s="344"/>
      <c r="O159" s="344"/>
      <c r="P159" s="344"/>
      <c r="Q159" s="344"/>
      <c r="R159" s="344"/>
      <c r="S159" s="358"/>
      <c r="T159" s="358"/>
      <c r="U159" s="388"/>
      <c r="V159" s="388"/>
      <c r="W159" s="388"/>
      <c r="X159" s="388"/>
      <c r="Y159" s="388"/>
      <c r="Z159" s="981"/>
      <c r="AA159" s="64"/>
      <c r="AB159" s="64"/>
      <c r="AC159" s="64"/>
      <c r="AD159" s="64"/>
      <c r="AE159" s="64"/>
      <c r="AF159" s="64"/>
      <c r="AG159" s="64"/>
      <c r="AH159" s="981"/>
      <c r="AI159" s="981"/>
      <c r="AJ159" s="344"/>
      <c r="AK159" s="344"/>
      <c r="AL159" s="344"/>
      <c r="AM159" s="344"/>
      <c r="AN159" s="344"/>
      <c r="AO159" s="344"/>
      <c r="AP159" s="344"/>
    </row>
  </sheetData>
  <sheetProtection password="FA80" sheet="1" objects="1" scenarios="1"/>
  <mergeCells count="154">
    <mergeCell ref="H97:I97"/>
    <mergeCell ref="J97:K97"/>
    <mergeCell ref="L97:M97"/>
    <mergeCell ref="A130:B130"/>
    <mergeCell ref="C147:G147"/>
    <mergeCell ref="A120:B120"/>
    <mergeCell ref="O103:Q103"/>
    <mergeCell ref="O104:Q104"/>
    <mergeCell ref="H98:I98"/>
    <mergeCell ref="J98:K98"/>
    <mergeCell ref="L98:M98"/>
    <mergeCell ref="O102:Q102"/>
    <mergeCell ref="I99:L99"/>
    <mergeCell ref="I100:L100"/>
    <mergeCell ref="A108:B108"/>
    <mergeCell ref="B107:E107"/>
    <mergeCell ref="A106:B106"/>
    <mergeCell ref="A104:G104"/>
    <mergeCell ref="L101:N101"/>
    <mergeCell ref="L102:N102"/>
    <mergeCell ref="L103:N103"/>
    <mergeCell ref="L104:N104"/>
    <mergeCell ref="B55:E102"/>
    <mergeCell ref="O101:Q101"/>
    <mergeCell ref="M95:N95"/>
    <mergeCell ref="O64:Q69"/>
    <mergeCell ref="I70:Q70"/>
    <mergeCell ref="G85:Q86"/>
    <mergeCell ref="G87:Q88"/>
    <mergeCell ref="L83:M83"/>
    <mergeCell ref="L71:M71"/>
    <mergeCell ref="N71:O71"/>
    <mergeCell ref="A4:E4"/>
    <mergeCell ref="I95:K95"/>
    <mergeCell ref="A53:B53"/>
    <mergeCell ref="B54:C54"/>
    <mergeCell ref="I64:K69"/>
    <mergeCell ref="L64:N69"/>
    <mergeCell ref="M56:N57"/>
    <mergeCell ref="P56:Q57"/>
    <mergeCell ref="G57:H57"/>
    <mergeCell ref="G54:H54"/>
    <mergeCell ref="J54:K54"/>
    <mergeCell ref="M54:N54"/>
    <mergeCell ref="P54:Q54"/>
    <mergeCell ref="G55:H55"/>
    <mergeCell ref="I55:Q55"/>
    <mergeCell ref="G56:H56"/>
    <mergeCell ref="V77:X77"/>
    <mergeCell ref="G90:I90"/>
    <mergeCell ref="H93:M93"/>
    <mergeCell ref="L90:M90"/>
    <mergeCell ref="N90:Q93"/>
    <mergeCell ref="H73:I73"/>
    <mergeCell ref="H74:I74"/>
    <mergeCell ref="H75:I75"/>
    <mergeCell ref="H76:I76"/>
    <mergeCell ref="H77:I77"/>
    <mergeCell ref="H78:I78"/>
    <mergeCell ref="J80:K80"/>
    <mergeCell ref="J81:K81"/>
    <mergeCell ref="L80:O81"/>
    <mergeCell ref="I83:J83"/>
    <mergeCell ref="H91:M91"/>
    <mergeCell ref="H92:M92"/>
    <mergeCell ref="AK35:AO35"/>
    <mergeCell ref="AD25:AF25"/>
    <mergeCell ref="AG25:AI25"/>
    <mergeCell ref="G22:H24"/>
    <mergeCell ref="I22:N22"/>
    <mergeCell ref="O22:Q22"/>
    <mergeCell ref="A51:B51"/>
    <mergeCell ref="C47:F47"/>
    <mergeCell ref="B49:D49"/>
    <mergeCell ref="E49:F49"/>
    <mergeCell ref="D51:E51"/>
    <mergeCell ref="AM36:AN36"/>
    <mergeCell ref="AM37:AN37"/>
    <mergeCell ref="D45:F45"/>
    <mergeCell ref="D46:F46"/>
    <mergeCell ref="D41:F41"/>
    <mergeCell ref="B42:F42"/>
    <mergeCell ref="AM38:AN38"/>
    <mergeCell ref="AM39:AN39"/>
    <mergeCell ref="AM40:AN40"/>
    <mergeCell ref="AM41:AN41"/>
    <mergeCell ref="AM42:AN42"/>
    <mergeCell ref="AM43:AN43"/>
    <mergeCell ref="AA25:AC25"/>
    <mergeCell ref="AK7:AO7"/>
    <mergeCell ref="A11:B11"/>
    <mergeCell ref="D11:F11"/>
    <mergeCell ref="I11:K11"/>
    <mergeCell ref="A15:B15"/>
    <mergeCell ref="D15:F15"/>
    <mergeCell ref="I15:K15"/>
    <mergeCell ref="A12:B12"/>
    <mergeCell ref="D12:G12"/>
    <mergeCell ref="I12:K12"/>
    <mergeCell ref="A13:B13"/>
    <mergeCell ref="D13:G13"/>
    <mergeCell ref="H13:H14"/>
    <mergeCell ref="I13:K13"/>
    <mergeCell ref="A8:B8"/>
    <mergeCell ref="D8:F8"/>
    <mergeCell ref="I8:Q8"/>
    <mergeCell ref="A9:B9"/>
    <mergeCell ref="D9:F9"/>
    <mergeCell ref="I9:K9"/>
    <mergeCell ref="L9:M9"/>
    <mergeCell ref="N9:O9"/>
    <mergeCell ref="D14:G14"/>
    <mergeCell ref="I14:K14"/>
    <mergeCell ref="G64:H70"/>
    <mergeCell ref="O23:Q24"/>
    <mergeCell ref="A19:H19"/>
    <mergeCell ref="A20:K20"/>
    <mergeCell ref="J56:K57"/>
    <mergeCell ref="L24:N24"/>
    <mergeCell ref="H71:I71"/>
    <mergeCell ref="J71:K71"/>
    <mergeCell ref="G58:H58"/>
    <mergeCell ref="A23:B23"/>
    <mergeCell ref="I23:N23"/>
    <mergeCell ref="G59:H59"/>
    <mergeCell ref="G60:H60"/>
    <mergeCell ref="G62:H62"/>
    <mergeCell ref="I62:K62"/>
    <mergeCell ref="L62:N62"/>
    <mergeCell ref="A34:B34"/>
    <mergeCell ref="F126:G126"/>
    <mergeCell ref="S1:AI1"/>
    <mergeCell ref="G2:I2"/>
    <mergeCell ref="O2:Q2"/>
    <mergeCell ref="AG24:AI24"/>
    <mergeCell ref="I24:K24"/>
    <mergeCell ref="A1:B1"/>
    <mergeCell ref="F1:J1"/>
    <mergeCell ref="P1:Q1"/>
    <mergeCell ref="A10:B10"/>
    <mergeCell ref="D10:F10"/>
    <mergeCell ref="I10:K10"/>
    <mergeCell ref="P9:Q9"/>
    <mergeCell ref="O3:Q3"/>
    <mergeCell ref="I4:K4"/>
    <mergeCell ref="M4:Q5"/>
    <mergeCell ref="A7:C7"/>
    <mergeCell ref="D7:G7"/>
    <mergeCell ref="I7:Q7"/>
    <mergeCell ref="O18:P18"/>
    <mergeCell ref="A14:B14"/>
    <mergeCell ref="O62:Q62"/>
    <mergeCell ref="G63:H63"/>
    <mergeCell ref="G61:H61"/>
  </mergeCells>
  <conditionalFormatting sqref="C48">
    <cfRule type="cellIs" dxfId="7" priority="4" stopIfTrue="1" operator="greaterThan">
      <formula>4</formula>
    </cfRule>
    <cfRule type="cellIs" dxfId="6" priority="5" stopIfTrue="1" operator="between">
      <formula>2.75</formula>
      <formula>4</formula>
    </cfRule>
  </conditionalFormatting>
  <conditionalFormatting sqref="J58:K58">
    <cfRule type="cellIs" dxfId="5" priority="3" operator="greaterThan">
      <formula>I58</formula>
    </cfRule>
  </conditionalFormatting>
  <conditionalFormatting sqref="P58:Q58">
    <cfRule type="cellIs" dxfId="4" priority="2" operator="greaterThan">
      <formula>O58</formula>
    </cfRule>
  </conditionalFormatting>
  <conditionalFormatting sqref="M58:N58">
    <cfRule type="cellIs" dxfId="3" priority="1" operator="greaterThan">
      <formula>L58</formula>
    </cfRule>
  </conditionalFormatting>
  <hyperlinks>
    <hyperlink ref="O2" r:id="rId1"/>
    <hyperlink ref="A4" location="'Extract Calc'!B98" display="Technical Section"/>
    <hyperlink ref="B4" location="'Extract Calc'!B98" display="Technical Section"/>
    <hyperlink ref="C4" location="'Extract Calc'!B98" display="Technical Section"/>
    <hyperlink ref="D4" location="'Extract Calc'!B98" display="Technical Section"/>
    <hyperlink ref="C13" location="'Gluten-Free'!L24" display="'Gluten-Free'!L24"/>
    <hyperlink ref="C12" location="'Gluten-Free'!I24" display="'Gluten-Free'!I24"/>
    <hyperlink ref="C14" location="'Gluten-Free'!O24" display="'Gluten-Free'!O24"/>
    <hyperlink ref="D44" location="'Gluten-Free'!G90" display="g ̸ litre"/>
    <hyperlink ref="B49" location="'Primer'!D1" display="Priming Calc's. For Beers Etc."/>
    <hyperlink ref="I55" location="'Gluten-Free Calc'!J100" display="See cells J100 etc. for the Isomerised hop extract settings."/>
    <hyperlink ref="O102" r:id="rId2"/>
    <hyperlink ref="O103" r:id="rId3"/>
    <hyperlink ref="O104" r:id="rId4"/>
    <hyperlink ref="B15" location="'Wine Calc'!B139" display="This assumes that the any vegetables (cells C132:C138) are catered for as per cell B139. Use the above figures as a VERY APPROX. GUIDE only."/>
    <hyperlink ref="O7" r:id="rId5" display="www.PetesPintPot.co.uk"/>
    <hyperlink ref="A42" location="'Gluten-Free Calc'!J100" display="See cells J100 etc. for the Isomerised hop extract settings."/>
    <hyperlink ref="O104:Q104" r:id="rId6" display="www.yobrew.co.uk"/>
    <hyperlink ref="B40" location="'Gluten-Free'!B55" display="'Gluten-Free'!B55"/>
    <hyperlink ref="D22" location="'Wine Calc'!D7" display="'Wine Calc'!D7"/>
    <hyperlink ref="E22" location="'Wine &amp; Cider Calc'!D7" display="'Wine &amp; Cider Calc'!D7"/>
    <hyperlink ref="I55:Q55" location="'Gluten-Free'!H83" display="See cells H83 etc. for the Isomerised hop extract settings."/>
    <hyperlink ref="A4:D4" location="'Gluten-Free'!A107" display="To amend ̸ modify any data, please refer to the &quot;Technical Section&quot;."/>
    <hyperlink ref="B44" location="'Gluten-Free'!Q18" display="'Gluten-Free'!Q18"/>
    <hyperlink ref="H13:H14" location="Beer!BI6" display="Beer!BI6"/>
    <hyperlink ref="B49:D49" location="Primer!G1" display="For more information about carbonation see &quot;Beer Primer&quot; page."/>
    <hyperlink ref="A4:E4" location="'Gluten-Free'!A106" display="To amend ̸ modify any data, please refer to the &quot;Technical Section&quot;."/>
  </hyperlinks>
  <printOptions horizontalCentered="1"/>
  <pageMargins left="0.15748031496062992" right="0.15748031496062992" top="0.6" bottom="0.6692913385826772" header="0.46" footer="0.55118110236220474"/>
  <pageSetup paperSize="9" scale="47" orientation="portrait" verticalDpi="300" r:id="rId7"/>
  <drawing r:id="rId8"/>
</worksheet>
</file>

<file path=xl/worksheets/sheet9.xml><?xml version="1.0" encoding="utf-8"?>
<worksheet xmlns="http://schemas.openxmlformats.org/spreadsheetml/2006/main" xmlns:r="http://schemas.openxmlformats.org/officeDocument/2006/relationships">
  <sheetPr>
    <tabColor theme="9" tint="-0.249977111117893"/>
    <pageSetUpPr fitToPage="1"/>
  </sheetPr>
  <dimension ref="A1:T134"/>
  <sheetViews>
    <sheetView topLeftCell="A74" zoomScale="75" zoomScaleNormal="75" zoomScaleSheetLayoutView="75" zoomScalePageLayoutView="75" workbookViewId="0">
      <selection activeCell="A55" sqref="A55:S85"/>
    </sheetView>
  </sheetViews>
  <sheetFormatPr defaultRowHeight="15"/>
  <cols>
    <col min="1" max="1" width="7.85546875" style="1632" customWidth="1"/>
    <col min="2" max="4" width="11.7109375" style="1632" customWidth="1"/>
    <col min="5" max="7" width="12.140625" style="1632" customWidth="1"/>
    <col min="8" max="9" width="11.7109375" style="1632" customWidth="1"/>
    <col min="10" max="10" width="13.42578125" style="1988" customWidth="1"/>
    <col min="11" max="11" width="11" style="1988" customWidth="1"/>
    <col min="12" max="12" width="11.140625" style="1988" customWidth="1"/>
    <col min="13" max="13" width="10.85546875" style="1988" customWidth="1"/>
    <col min="14" max="14" width="10.42578125" style="1988" customWidth="1"/>
    <col min="15" max="15" width="5.28515625" style="1988" customWidth="1"/>
    <col min="16" max="16" width="29.5703125" style="1632" customWidth="1"/>
    <col min="17" max="19" width="9.85546875" style="1632" customWidth="1"/>
    <col min="20" max="20" width="4.42578125" style="1632" customWidth="1"/>
    <col min="21" max="16384" width="9.140625" style="1632"/>
  </cols>
  <sheetData>
    <row r="1" spans="1:20" ht="39.75" customHeight="1">
      <c r="A1" s="5769" t="s">
        <v>1918</v>
      </c>
      <c r="B1" s="5769"/>
      <c r="C1" s="1757"/>
      <c r="D1" s="1617"/>
      <c r="E1" s="1757"/>
      <c r="F1" s="5770" t="s">
        <v>1902</v>
      </c>
      <c r="G1" s="5770"/>
      <c r="H1" s="5770"/>
      <c r="I1" s="5770"/>
      <c r="J1" s="5770"/>
      <c r="K1" s="5770"/>
      <c r="L1" s="5770"/>
      <c r="M1" s="5770"/>
      <c r="N1" s="5770"/>
      <c r="O1" s="5770"/>
      <c r="P1" s="1895"/>
      <c r="Q1" s="1642"/>
      <c r="R1" s="1642"/>
      <c r="S1" s="1950" t="s">
        <v>1917</v>
      </c>
      <c r="T1" s="1642"/>
    </row>
    <row r="2" spans="1:20" ht="16.5" customHeight="1">
      <c r="A2" s="1951"/>
      <c r="B2" s="1951"/>
      <c r="C2" s="1100"/>
      <c r="D2" s="1101"/>
      <c r="E2" s="1102"/>
      <c r="F2" s="1102"/>
      <c r="G2" s="1952"/>
      <c r="H2" s="1102"/>
      <c r="I2" s="1642"/>
      <c r="J2" s="1310"/>
      <c r="K2" s="1310"/>
      <c r="L2" s="1310"/>
      <c r="M2" s="1310"/>
      <c r="N2" s="1310"/>
      <c r="O2" s="1310"/>
      <c r="P2" s="1642"/>
      <c r="Q2" s="5771" t="s">
        <v>1</v>
      </c>
      <c r="R2" s="5771"/>
      <c r="S2" s="5771"/>
      <c r="T2" s="1642"/>
    </row>
    <row r="3" spans="1:20" ht="16.5" customHeight="1">
      <c r="A3" s="5698" t="s">
        <v>1694</v>
      </c>
      <c r="B3" s="5698"/>
      <c r="C3" s="5698"/>
      <c r="D3" s="5698"/>
      <c r="E3" s="5698"/>
      <c r="F3" s="5698"/>
      <c r="G3" s="5698"/>
      <c r="H3" s="5698"/>
      <c r="I3" s="5698"/>
      <c r="J3" s="5772" t="s">
        <v>823</v>
      </c>
      <c r="K3" s="5772"/>
      <c r="L3" s="5772"/>
      <c r="M3" s="5772"/>
      <c r="N3" s="5772"/>
      <c r="O3" s="5773" t="s">
        <v>1724</v>
      </c>
      <c r="P3" s="5773"/>
      <c r="Q3" s="5774" t="s">
        <v>307</v>
      </c>
      <c r="R3" s="5774"/>
      <c r="S3" s="5774"/>
      <c r="T3" s="1642"/>
    </row>
    <row r="4" spans="1:20" ht="16.5" customHeight="1">
      <c r="A4" s="5780" t="s">
        <v>1698</v>
      </c>
      <c r="B4" s="5780"/>
      <c r="C4" s="5780"/>
      <c r="D4" s="5780"/>
      <c r="E4" s="5780"/>
      <c r="F4" s="5780"/>
      <c r="G4" s="5780"/>
      <c r="H4" s="5780"/>
      <c r="I4" s="5780"/>
      <c r="J4" s="1947"/>
      <c r="K4" s="1947"/>
      <c r="L4" s="1947"/>
      <c r="M4" s="1947"/>
      <c r="N4" s="1947"/>
      <c r="O4" s="1947"/>
      <c r="P4" s="1642"/>
      <c r="Q4" s="1642"/>
      <c r="R4" s="1642"/>
      <c r="S4" s="1642"/>
      <c r="T4" s="1642"/>
    </row>
    <row r="5" spans="1:20" ht="16.5" customHeight="1">
      <c r="A5" s="1642"/>
      <c r="B5" s="1642"/>
      <c r="C5" s="1642"/>
      <c r="D5" s="1642"/>
      <c r="E5" s="1642"/>
      <c r="F5" s="1103"/>
      <c r="G5" s="1948"/>
      <c r="H5" s="1948"/>
      <c r="I5" s="1103"/>
      <c r="J5" s="1310"/>
      <c r="K5" s="1310"/>
      <c r="L5" s="1310"/>
      <c r="M5" s="1310"/>
      <c r="N5" s="1310"/>
      <c r="O5" s="1310"/>
      <c r="P5" s="5781" t="s">
        <v>1685</v>
      </c>
      <c r="Q5" s="5781"/>
      <c r="R5" s="5781"/>
      <c r="S5" s="5781"/>
      <c r="T5" s="2555"/>
    </row>
    <row r="6" spans="1:20" ht="16.5" customHeight="1">
      <c r="A6" s="1103"/>
      <c r="B6" s="5702" t="s">
        <v>822</v>
      </c>
      <c r="C6" s="5702"/>
      <c r="D6" s="5702"/>
      <c r="E6" s="5702"/>
      <c r="F6" s="1642"/>
      <c r="G6" s="1642"/>
      <c r="H6" s="1642"/>
      <c r="I6" s="1757"/>
      <c r="J6" s="2028"/>
      <c r="K6" s="5782" t="s">
        <v>817</v>
      </c>
      <c r="L6" s="5783"/>
      <c r="M6" s="5783"/>
      <c r="N6" s="1310"/>
      <c r="O6" s="1310"/>
      <c r="P6" s="5784" t="s">
        <v>818</v>
      </c>
      <c r="Q6" s="5786" t="s">
        <v>819</v>
      </c>
      <c r="R6" s="5786"/>
      <c r="S6" s="3359" t="s">
        <v>392</v>
      </c>
      <c r="T6" s="1642"/>
    </row>
    <row r="7" spans="1:20" ht="16.5" customHeight="1">
      <c r="A7" s="1103"/>
      <c r="B7" s="1104"/>
      <c r="C7" s="2019">
        <v>23</v>
      </c>
      <c r="D7" s="5787" t="s">
        <v>1703</v>
      </c>
      <c r="E7" s="5745"/>
      <c r="F7" s="5744" t="s">
        <v>1706</v>
      </c>
      <c r="G7" s="5745"/>
      <c r="H7" s="2029">
        <v>20.2</v>
      </c>
      <c r="I7" s="1955"/>
      <c r="J7" s="1310"/>
      <c r="K7" s="1310"/>
      <c r="L7" s="1310"/>
      <c r="M7" s="1310"/>
      <c r="N7" s="1310"/>
      <c r="O7" s="1310"/>
      <c r="P7" s="5785"/>
      <c r="Q7" s="3104" t="s">
        <v>390</v>
      </c>
      <c r="R7" s="3104" t="s">
        <v>820</v>
      </c>
      <c r="S7" s="3104" t="s">
        <v>821</v>
      </c>
      <c r="T7" s="1642"/>
    </row>
    <row r="8" spans="1:20" ht="16.5" customHeight="1">
      <c r="A8" s="1103"/>
      <c r="B8" s="1106"/>
      <c r="C8" s="1996" t="s">
        <v>826</v>
      </c>
      <c r="D8" s="1997" t="s">
        <v>827</v>
      </c>
      <c r="E8" s="5747" t="s">
        <v>828</v>
      </c>
      <c r="F8" s="5747"/>
      <c r="G8" s="5748" t="s">
        <v>1810</v>
      </c>
      <c r="H8" s="5748"/>
      <c r="I8" s="1948"/>
      <c r="J8" s="5763" t="s">
        <v>1684</v>
      </c>
      <c r="K8" s="5763"/>
      <c r="L8" s="5763"/>
      <c r="M8" s="5778" t="str">
        <f>"For ("&amp;M11&amp;" / "&amp;M12&amp;" litres)"</f>
        <v>For (20.2 / 25 litres)</v>
      </c>
      <c r="N8" s="5778"/>
      <c r="O8" s="1310"/>
      <c r="P8" s="1956" t="s">
        <v>824</v>
      </c>
      <c r="Q8" s="3105">
        <v>1.2</v>
      </c>
      <c r="R8" s="3105">
        <v>2.8</v>
      </c>
      <c r="S8" s="3106">
        <f t="shared" ref="S8:S65" si="0">(Q8+R8)/2</f>
        <v>2</v>
      </c>
      <c r="T8" s="1642"/>
    </row>
    <row r="9" spans="1:20" ht="16.5" customHeight="1">
      <c r="A9" s="1103"/>
      <c r="B9" s="1106"/>
      <c r="C9" s="1107" t="s">
        <v>830</v>
      </c>
      <c r="D9" s="1108" t="s">
        <v>831</v>
      </c>
      <c r="E9" s="5747"/>
      <c r="F9" s="5747"/>
      <c r="G9" s="5748"/>
      <c r="H9" s="5748"/>
      <c r="I9" s="1948"/>
      <c r="J9" s="5779" t="s">
        <v>1663</v>
      </c>
      <c r="K9" s="5779"/>
      <c r="L9" s="5779"/>
      <c r="M9" s="3110">
        <f>C11</f>
        <v>1.7</v>
      </c>
      <c r="N9" s="3111" t="s">
        <v>1664</v>
      </c>
      <c r="O9" s="1310"/>
      <c r="P9" s="1956" t="s">
        <v>825</v>
      </c>
      <c r="Q9" s="3105">
        <v>1.5</v>
      </c>
      <c r="R9" s="3105">
        <v>2.5</v>
      </c>
      <c r="S9" s="3106">
        <f t="shared" si="0"/>
        <v>2</v>
      </c>
      <c r="T9" s="1642"/>
    </row>
    <row r="10" spans="1:20" ht="16.5" customHeight="1">
      <c r="A10" s="1103"/>
      <c r="B10" s="1106"/>
      <c r="C10" s="1109" t="s">
        <v>821</v>
      </c>
      <c r="D10" s="1108" t="s">
        <v>205</v>
      </c>
      <c r="E10" s="2030" t="s">
        <v>991</v>
      </c>
      <c r="F10" s="2030" t="str">
        <f>FIXED($H$7)&amp;" litre"</f>
        <v>20.20 litre</v>
      </c>
      <c r="G10" s="2532" t="s">
        <v>991</v>
      </c>
      <c r="H10" s="2532" t="str">
        <f>FIXED($H$7)&amp;" litre"</f>
        <v>20.20 litre</v>
      </c>
      <c r="I10" s="1948"/>
      <c r="J10" s="5764" t="s">
        <v>1665</v>
      </c>
      <c r="K10" s="5764"/>
      <c r="L10" s="5764"/>
      <c r="M10" s="3112">
        <v>20</v>
      </c>
      <c r="N10" s="3113" t="s">
        <v>1695</v>
      </c>
      <c r="O10" s="1310"/>
      <c r="P10" s="1956" t="s">
        <v>829</v>
      </c>
      <c r="Q10" s="3105">
        <v>2.5</v>
      </c>
      <c r="R10" s="3105">
        <v>2.7</v>
      </c>
      <c r="S10" s="3106">
        <f t="shared" si="0"/>
        <v>2.6</v>
      </c>
      <c r="T10" s="1642"/>
    </row>
    <row r="11" spans="1:20" ht="16.5" customHeight="1">
      <c r="A11" s="1103"/>
      <c r="B11" s="1106"/>
      <c r="C11" s="1957">
        <v>1.7</v>
      </c>
      <c r="D11" s="1958">
        <v>20</v>
      </c>
      <c r="E11" s="2066">
        <f>(C11-VLOOKUP(D11,B91:D134,3))/K72</f>
        <v>3.1412213740458013</v>
      </c>
      <c r="F11" s="2031">
        <f>$H$7*E11</f>
        <v>63.452671755725184</v>
      </c>
      <c r="G11" s="2533">
        <f>($C$11-(VLOOKUP($D$11,$B91:$D134,3)))/K79</f>
        <v>3.3065488147850539</v>
      </c>
      <c r="H11" s="2534">
        <f>$H$7*G11</f>
        <v>66.792286058658092</v>
      </c>
      <c r="I11" s="1948"/>
      <c r="J11" s="5775" t="s">
        <v>1689</v>
      </c>
      <c r="K11" s="5775"/>
      <c r="L11" s="5775"/>
      <c r="M11" s="3114">
        <f>H7</f>
        <v>20.2</v>
      </c>
      <c r="N11" s="3113" t="s">
        <v>666</v>
      </c>
      <c r="O11" s="1310"/>
      <c r="P11" s="1956" t="s">
        <v>832</v>
      </c>
      <c r="Q11" s="3105">
        <v>2.2000000000000002</v>
      </c>
      <c r="R11" s="3105">
        <v>2.8</v>
      </c>
      <c r="S11" s="3106">
        <f t="shared" si="0"/>
        <v>2.5</v>
      </c>
      <c r="T11" s="1642"/>
    </row>
    <row r="12" spans="1:20" ht="16.5" customHeight="1">
      <c r="A12" s="1103"/>
      <c r="B12" s="1106"/>
      <c r="C12" s="5776" t="s">
        <v>835</v>
      </c>
      <c r="D12" s="5776"/>
      <c r="E12" s="2032">
        <f>E11/$D$53</f>
        <v>0.99721313461771477</v>
      </c>
      <c r="F12" s="2033">
        <f>F11/$D$53</f>
        <v>20.143705319277839</v>
      </c>
      <c r="G12" s="2535">
        <f>G11/$D$53</f>
        <v>1.0496980364396997</v>
      </c>
      <c r="H12" s="2536">
        <f>H11/$D$53</f>
        <v>21.203900336081936</v>
      </c>
      <c r="I12" s="1948"/>
      <c r="J12" s="5777" t="s">
        <v>1666</v>
      </c>
      <c r="K12" s="5777"/>
      <c r="L12" s="5777"/>
      <c r="M12" s="3115">
        <v>25</v>
      </c>
      <c r="N12" s="3113" t="s">
        <v>666</v>
      </c>
      <c r="O12" s="1310"/>
      <c r="P12" s="1956" t="s">
        <v>833</v>
      </c>
      <c r="Q12" s="3105">
        <v>2.6</v>
      </c>
      <c r="R12" s="3105">
        <v>2.7</v>
      </c>
      <c r="S12" s="3106">
        <f t="shared" si="0"/>
        <v>2.6500000000000004</v>
      </c>
      <c r="T12" s="1642"/>
    </row>
    <row r="13" spans="1:20" ht="16.5" customHeight="1">
      <c r="A13" s="1103"/>
      <c r="B13" s="1899"/>
      <c r="C13" s="1899"/>
      <c r="D13" s="1899"/>
      <c r="E13" s="1899"/>
      <c r="F13" s="1899"/>
      <c r="G13" s="1899"/>
      <c r="H13" s="1899"/>
      <c r="I13" s="1948"/>
      <c r="J13" s="5746" t="s">
        <v>1667</v>
      </c>
      <c r="K13" s="5746"/>
      <c r="L13" s="5746"/>
      <c r="M13" s="3116">
        <f>M15*7225/7605</f>
        <v>94.183348435792283</v>
      </c>
      <c r="N13" s="3117" t="s">
        <v>40</v>
      </c>
      <c r="O13" s="1310"/>
      <c r="P13" s="1956" t="s">
        <v>834</v>
      </c>
      <c r="Q13" s="3105">
        <v>2.2999999999999998</v>
      </c>
      <c r="R13" s="3105">
        <v>2.6</v>
      </c>
      <c r="S13" s="3106">
        <f t="shared" si="0"/>
        <v>2.4500000000000002</v>
      </c>
      <c r="T13" s="1642"/>
    </row>
    <row r="14" spans="1:20" ht="16.5" customHeight="1">
      <c r="A14" s="1103"/>
      <c r="B14" s="5750" t="s">
        <v>838</v>
      </c>
      <c r="C14" s="5750"/>
      <c r="D14" s="5750"/>
      <c r="E14" s="5750"/>
      <c r="F14" s="5750"/>
      <c r="G14" s="1110"/>
      <c r="H14" s="1111"/>
      <c r="I14" s="1948"/>
      <c r="J14" s="5749"/>
      <c r="K14" s="5749"/>
      <c r="L14" s="5749"/>
      <c r="M14" s="3118" t="str">
        <f>"= "&amp;FIXED((M13/D53),1)</f>
        <v>= 29.9</v>
      </c>
      <c r="N14" s="1959" t="s">
        <v>63</v>
      </c>
      <c r="O14" s="1310"/>
      <c r="P14" s="1956" t="s">
        <v>836</v>
      </c>
      <c r="Q14" s="3105">
        <v>2.2000000000000002</v>
      </c>
      <c r="R14" s="3105">
        <v>2.6</v>
      </c>
      <c r="S14" s="3106">
        <f t="shared" si="0"/>
        <v>2.4000000000000004</v>
      </c>
      <c r="T14" s="1642"/>
    </row>
    <row r="15" spans="1:20" ht="16.5" customHeight="1">
      <c r="A15" s="1103"/>
      <c r="B15" s="1106"/>
      <c r="C15" s="2019">
        <v>5</v>
      </c>
      <c r="D15" s="5742" t="s">
        <v>1704</v>
      </c>
      <c r="E15" s="5743"/>
      <c r="F15" s="5744" t="s">
        <v>1706</v>
      </c>
      <c r="G15" s="5745"/>
      <c r="H15" s="2034">
        <v>4.41</v>
      </c>
      <c r="I15" s="1948"/>
      <c r="J15" s="5746" t="s">
        <v>1814</v>
      </c>
      <c r="K15" s="5746"/>
      <c r="L15" s="5746"/>
      <c r="M15" s="3119">
        <f>(M9-((3.0378-(0.050062*(((M10+40)*9/5)-40))+(0.00026555*(((M10+40)*9/5)-40)^2))*M11/M12))*3.95*M12</f>
        <v>99.136936312000046</v>
      </c>
      <c r="N15" s="3113" t="s">
        <v>40</v>
      </c>
      <c r="O15" s="1310"/>
      <c r="P15" s="1956" t="s">
        <v>837</v>
      </c>
      <c r="Q15" s="3105">
        <v>1.9</v>
      </c>
      <c r="R15" s="3105">
        <v>2.5</v>
      </c>
      <c r="S15" s="3106">
        <f t="shared" si="0"/>
        <v>2.2000000000000002</v>
      </c>
      <c r="T15" s="1642"/>
    </row>
    <row r="16" spans="1:20" ht="16.5" customHeight="1">
      <c r="A16" s="1103"/>
      <c r="B16" s="1899"/>
      <c r="C16" s="1996" t="s">
        <v>826</v>
      </c>
      <c r="D16" s="1997" t="s">
        <v>827</v>
      </c>
      <c r="E16" s="5747" t="s">
        <v>841</v>
      </c>
      <c r="F16" s="5747"/>
      <c r="G16" s="5748" t="s">
        <v>1810</v>
      </c>
      <c r="H16" s="5748"/>
      <c r="I16" s="1616"/>
      <c r="J16" s="5749"/>
      <c r="K16" s="5749"/>
      <c r="L16" s="5749"/>
      <c r="M16" s="3118" t="str">
        <f>"= "&amp;FIXED((M15/D53),1)</f>
        <v>= 31.5</v>
      </c>
      <c r="N16" s="1959" t="s">
        <v>63</v>
      </c>
      <c r="O16" s="1310"/>
      <c r="P16" s="1956" t="s">
        <v>839</v>
      </c>
      <c r="Q16" s="3105">
        <v>1.9</v>
      </c>
      <c r="R16" s="3105">
        <v>2.4</v>
      </c>
      <c r="S16" s="3106">
        <f t="shared" si="0"/>
        <v>2.15</v>
      </c>
      <c r="T16" s="1642"/>
    </row>
    <row r="17" spans="1:20" ht="16.5" customHeight="1">
      <c r="A17" s="1103"/>
      <c r="B17" s="1899"/>
      <c r="C17" s="1107" t="s">
        <v>830</v>
      </c>
      <c r="D17" s="1108" t="s">
        <v>831</v>
      </c>
      <c r="E17" s="5747"/>
      <c r="F17" s="5747"/>
      <c r="G17" s="5748"/>
      <c r="H17" s="5748"/>
      <c r="I17" s="1616"/>
      <c r="J17" s="1310"/>
      <c r="K17" s="1310"/>
      <c r="L17" s="1310"/>
      <c r="M17" s="1310"/>
      <c r="N17" s="1310"/>
      <c r="O17" s="1310"/>
      <c r="P17" s="1956" t="s">
        <v>840</v>
      </c>
      <c r="Q17" s="3105">
        <v>2.6</v>
      </c>
      <c r="R17" s="3105">
        <v>4.5</v>
      </c>
      <c r="S17" s="3106">
        <f t="shared" si="0"/>
        <v>3.55</v>
      </c>
      <c r="T17" s="1642"/>
    </row>
    <row r="18" spans="1:20" ht="16.5" customHeight="1">
      <c r="A18" s="1103"/>
      <c r="B18" s="1899"/>
      <c r="C18" s="1109" t="s">
        <v>821</v>
      </c>
      <c r="D18" s="1960" t="s">
        <v>844</v>
      </c>
      <c r="E18" s="2030" t="s">
        <v>1692</v>
      </c>
      <c r="F18" s="2030" t="str">
        <f>$H$15&amp;" UK gall"</f>
        <v>4.41 UK gall</v>
      </c>
      <c r="G18" s="2532" t="s">
        <v>1692</v>
      </c>
      <c r="H18" s="2532" t="str">
        <f>$H$15&amp;" UK gall"</f>
        <v>4.41 UK gall</v>
      </c>
      <c r="I18" s="1616"/>
      <c r="J18" s="1310"/>
      <c r="K18" s="1310"/>
      <c r="L18" s="1310"/>
      <c r="M18" s="1310"/>
      <c r="N18" s="1310"/>
      <c r="O18" s="1961"/>
      <c r="P18" s="1956" t="s">
        <v>842</v>
      </c>
      <c r="Q18" s="3105">
        <v>3</v>
      </c>
      <c r="R18" s="3105">
        <v>4.5</v>
      </c>
      <c r="S18" s="3106">
        <f t="shared" si="0"/>
        <v>3.75</v>
      </c>
      <c r="T18" s="1642"/>
    </row>
    <row r="19" spans="1:20" ht="16.5" customHeight="1">
      <c r="A19" s="1103"/>
      <c r="B19" s="1112"/>
      <c r="C19" s="1957">
        <f>C11</f>
        <v>1.7</v>
      </c>
      <c r="D19" s="1958">
        <v>68</v>
      </c>
      <c r="E19" s="2065">
        <f>0.56825*(C19-VLOOKUP(D19,C91:D134,2))/(K72*28.35)</f>
        <v>6.2962929305168489E-2</v>
      </c>
      <c r="F19" s="2031">
        <f>8*$H$15*E19</f>
        <v>2.2213321458863442</v>
      </c>
      <c r="G19" s="2533">
        <f>0.56825*($C19-(VLOOKUP($D$19,C91:D134,2)))/(K79*28.35)</f>
        <v>6.6276767689651031E-2</v>
      </c>
      <c r="H19" s="2534">
        <f>8*$H$15*G19</f>
        <v>2.3382443640908885</v>
      </c>
      <c r="I19" s="1616"/>
      <c r="J19" s="1310"/>
      <c r="K19" s="5765" t="s">
        <v>1683</v>
      </c>
      <c r="L19" s="5765"/>
      <c r="M19" s="5765"/>
      <c r="N19" s="1946"/>
      <c r="O19" s="1961"/>
      <c r="P19" s="1956" t="s">
        <v>843</v>
      </c>
      <c r="Q19" s="3105">
        <v>1.9</v>
      </c>
      <c r="R19" s="3105">
        <v>2.4</v>
      </c>
      <c r="S19" s="3106">
        <f t="shared" si="0"/>
        <v>2.15</v>
      </c>
      <c r="T19" s="1642"/>
    </row>
    <row r="20" spans="1:20" ht="16.5" customHeight="1">
      <c r="A20" s="1103"/>
      <c r="B20" s="1899"/>
      <c r="C20" s="5766" t="s">
        <v>846</v>
      </c>
      <c r="D20" s="5766"/>
      <c r="E20" s="3363">
        <f>28.35*E19</f>
        <v>1.7849990458015268</v>
      </c>
      <c r="F20" s="3364">
        <f>28.35*F19</f>
        <v>62.97476633587786</v>
      </c>
      <c r="G20" s="3365">
        <f>28.35*G19</f>
        <v>1.8789463640016069</v>
      </c>
      <c r="H20" s="3366">
        <f>28.35*H19</f>
        <v>66.289227721976687</v>
      </c>
      <c r="I20" s="1616"/>
      <c r="J20" s="1310"/>
      <c r="K20" s="5767" t="s">
        <v>903</v>
      </c>
      <c r="L20" s="5768"/>
      <c r="M20" s="5768"/>
      <c r="N20" s="3109">
        <v>3.15</v>
      </c>
      <c r="O20" s="1964">
        <v>100</v>
      </c>
      <c r="P20" s="1956" t="s">
        <v>1826</v>
      </c>
      <c r="Q20" s="3105">
        <v>2.1</v>
      </c>
      <c r="R20" s="3105">
        <v>2.6</v>
      </c>
      <c r="S20" s="3106">
        <f t="shared" si="0"/>
        <v>2.35</v>
      </c>
      <c r="T20" s="1642"/>
    </row>
    <row r="21" spans="1:20" ht="16.5" customHeight="1">
      <c r="A21" s="1103"/>
      <c r="B21" s="1899"/>
      <c r="C21" s="5741" t="s">
        <v>835</v>
      </c>
      <c r="D21" s="5741"/>
      <c r="E21" s="2032">
        <f>E20/$D$53</f>
        <v>0.56666636374651647</v>
      </c>
      <c r="F21" s="2033">
        <f>F20/$D$53</f>
        <v>19.9919893129771</v>
      </c>
      <c r="G21" s="2535">
        <f>G20/$D$53</f>
        <v>0.59649090920685932</v>
      </c>
      <c r="H21" s="2537">
        <f>H20/$D$53</f>
        <v>21.044199276817995</v>
      </c>
      <c r="I21" s="1616"/>
      <c r="J21" s="1310"/>
      <c r="K21" s="5734" t="s">
        <v>926</v>
      </c>
      <c r="L21" s="5734"/>
      <c r="M21" s="5734"/>
      <c r="N21" s="2804" t="str">
        <f t="shared" ref="N21:N39" si="1">FIXED((($N$20*$O21)/100),2)&amp;"g"</f>
        <v>3.18g</v>
      </c>
      <c r="O21" s="1964">
        <v>101</v>
      </c>
      <c r="P21" s="1956" t="s">
        <v>845</v>
      </c>
      <c r="Q21" s="3105">
        <v>3.5</v>
      </c>
      <c r="R21" s="3105">
        <v>3.5</v>
      </c>
      <c r="S21" s="3106">
        <f t="shared" si="0"/>
        <v>3.5</v>
      </c>
      <c r="T21" s="1642"/>
    </row>
    <row r="22" spans="1:20" ht="16.5" customHeight="1">
      <c r="A22" s="1103"/>
      <c r="B22" s="1106"/>
      <c r="C22" s="1106"/>
      <c r="D22" s="1106"/>
      <c r="E22" s="1106"/>
      <c r="F22" s="1106"/>
      <c r="G22" s="1106"/>
      <c r="H22" s="1106"/>
      <c r="I22" s="1616"/>
      <c r="J22" s="1310"/>
      <c r="K22" s="5734" t="s">
        <v>927</v>
      </c>
      <c r="L22" s="5734"/>
      <c r="M22" s="5734"/>
      <c r="N22" s="2804" t="str">
        <f t="shared" si="1"/>
        <v>3.94g</v>
      </c>
      <c r="O22" s="1964">
        <v>125</v>
      </c>
      <c r="P22" s="1956" t="s">
        <v>847</v>
      </c>
      <c r="Q22" s="3105">
        <v>1.9</v>
      </c>
      <c r="R22" s="3105">
        <v>2.5</v>
      </c>
      <c r="S22" s="3106">
        <f t="shared" si="0"/>
        <v>2.2000000000000002</v>
      </c>
      <c r="T22" s="1642"/>
    </row>
    <row r="23" spans="1:20" ht="16.5" customHeight="1">
      <c r="A23" s="1103"/>
      <c r="B23" s="5750" t="s">
        <v>850</v>
      </c>
      <c r="C23" s="5750"/>
      <c r="D23" s="5750"/>
      <c r="E23" s="5750"/>
      <c r="F23" s="5750"/>
      <c r="G23" s="1113"/>
      <c r="H23" s="1110"/>
      <c r="I23" s="1616"/>
      <c r="J23" s="1310"/>
      <c r="K23" s="5734" t="s">
        <v>907</v>
      </c>
      <c r="L23" s="5734"/>
      <c r="M23" s="5734"/>
      <c r="N23" s="2804" t="str">
        <f t="shared" si="1"/>
        <v>4.91g</v>
      </c>
      <c r="O23" s="1964">
        <v>156</v>
      </c>
      <c r="P23" s="1956" t="s">
        <v>848</v>
      </c>
      <c r="Q23" s="3105">
        <v>2.2000000000000002</v>
      </c>
      <c r="R23" s="3105">
        <v>2.7</v>
      </c>
      <c r="S23" s="3106">
        <f t="shared" si="0"/>
        <v>2.4500000000000002</v>
      </c>
      <c r="T23" s="1642"/>
    </row>
    <row r="24" spans="1:20" ht="16.5" customHeight="1">
      <c r="A24" s="1103"/>
      <c r="B24" s="1106"/>
      <c r="C24" s="3120">
        <v>6</v>
      </c>
      <c r="D24" s="5754" t="s">
        <v>1705</v>
      </c>
      <c r="E24" s="5755"/>
      <c r="F24" s="5756" t="s">
        <v>1706</v>
      </c>
      <c r="G24" s="5757"/>
      <c r="H24" s="3121">
        <v>5.4</v>
      </c>
      <c r="I24" s="1616"/>
      <c r="J24" s="1310"/>
      <c r="K24" s="5734" t="s">
        <v>908</v>
      </c>
      <c r="L24" s="5734"/>
      <c r="M24" s="5734"/>
      <c r="N24" s="2804" t="str">
        <f t="shared" si="1"/>
        <v>3.18g</v>
      </c>
      <c r="O24" s="1964">
        <v>101</v>
      </c>
      <c r="P24" s="1956" t="s">
        <v>849</v>
      </c>
      <c r="Q24" s="3105">
        <v>2.2999999999999998</v>
      </c>
      <c r="R24" s="3105">
        <v>2.5</v>
      </c>
      <c r="S24" s="3106">
        <f t="shared" si="0"/>
        <v>2.4</v>
      </c>
      <c r="T24" s="1642"/>
    </row>
    <row r="25" spans="1:20" ht="16.5" customHeight="1">
      <c r="A25" s="1103"/>
      <c r="B25" s="1106"/>
      <c r="C25" s="3122" t="s">
        <v>826</v>
      </c>
      <c r="D25" s="3123" t="s">
        <v>827</v>
      </c>
      <c r="E25" s="5758" t="s">
        <v>841</v>
      </c>
      <c r="F25" s="5759"/>
      <c r="G25" s="5762" t="s">
        <v>1810</v>
      </c>
      <c r="H25" s="5762"/>
      <c r="I25" s="1616"/>
      <c r="J25" s="1310"/>
      <c r="K25" s="5734" t="s">
        <v>909</v>
      </c>
      <c r="L25" s="5734"/>
      <c r="M25" s="5734"/>
      <c r="N25" s="2804" t="str">
        <f t="shared" si="1"/>
        <v>3.18g</v>
      </c>
      <c r="O25" s="1964">
        <v>101</v>
      </c>
      <c r="P25" s="1956" t="s">
        <v>851</v>
      </c>
      <c r="Q25" s="3105">
        <v>2.4</v>
      </c>
      <c r="R25" s="3105">
        <v>2.8</v>
      </c>
      <c r="S25" s="3106">
        <f t="shared" si="0"/>
        <v>2.5999999999999996</v>
      </c>
      <c r="T25" s="1642"/>
    </row>
    <row r="26" spans="1:20" ht="16.5" customHeight="1">
      <c r="A26" s="1103"/>
      <c r="B26" s="1106"/>
      <c r="C26" s="3124" t="s">
        <v>830</v>
      </c>
      <c r="D26" s="3125" t="s">
        <v>831</v>
      </c>
      <c r="E26" s="5760"/>
      <c r="F26" s="5761"/>
      <c r="G26" s="5762"/>
      <c r="H26" s="5762"/>
      <c r="I26" s="1616"/>
      <c r="J26" s="1310"/>
      <c r="K26" s="5734" t="s">
        <v>1824</v>
      </c>
      <c r="L26" s="5734"/>
      <c r="M26" s="5734"/>
      <c r="N26" s="2804" t="str">
        <f t="shared" si="1"/>
        <v>3.31g</v>
      </c>
      <c r="O26" s="1964">
        <v>105</v>
      </c>
      <c r="P26" s="1956" t="s">
        <v>852</v>
      </c>
      <c r="Q26" s="3105">
        <v>2.6</v>
      </c>
      <c r="R26" s="3105">
        <v>2.7</v>
      </c>
      <c r="S26" s="3106">
        <f t="shared" si="0"/>
        <v>2.6500000000000004</v>
      </c>
      <c r="T26" s="1642"/>
    </row>
    <row r="27" spans="1:20" ht="16.5" customHeight="1">
      <c r="A27" s="1103"/>
      <c r="B27" s="1106"/>
      <c r="C27" s="3126" t="s">
        <v>821</v>
      </c>
      <c r="D27" s="1960" t="s">
        <v>844</v>
      </c>
      <c r="E27" s="3127" t="s">
        <v>1693</v>
      </c>
      <c r="F27" s="3128" t="str">
        <f>FIXED($H$24)&amp;" US gall"</f>
        <v>5.40 US gall</v>
      </c>
      <c r="G27" s="3129" t="s">
        <v>1693</v>
      </c>
      <c r="H27" s="3130" t="str">
        <f>FIXED($H$24)&amp;" US gall"</f>
        <v>5.40 US gall</v>
      </c>
      <c r="I27" s="1616"/>
      <c r="J27" s="1310"/>
      <c r="K27" s="5734" t="s">
        <v>910</v>
      </c>
      <c r="L27" s="5734"/>
      <c r="M27" s="5734"/>
      <c r="N27" s="2804" t="str">
        <f t="shared" si="1"/>
        <v>4.06g</v>
      </c>
      <c r="O27" s="1964">
        <v>129</v>
      </c>
      <c r="P27" s="1956" t="s">
        <v>853</v>
      </c>
      <c r="Q27" s="3105">
        <v>2.2999999999999998</v>
      </c>
      <c r="R27" s="3105">
        <v>2.6</v>
      </c>
      <c r="S27" s="3106">
        <f t="shared" si="0"/>
        <v>2.4500000000000002</v>
      </c>
      <c r="T27" s="1642"/>
    </row>
    <row r="28" spans="1:20" ht="16.5" customHeight="1">
      <c r="A28" s="1103"/>
      <c r="B28" s="1899"/>
      <c r="C28" s="3131">
        <f>C11</f>
        <v>1.7</v>
      </c>
      <c r="D28" s="3132">
        <f>D19</f>
        <v>68</v>
      </c>
      <c r="E28" s="3133">
        <f>0.47318*(C28-VLOOKUP(D28,C91:D134,2))/(K72*28.35)</f>
        <v>5.2429034559823354E-2</v>
      </c>
      <c r="F28" s="3134">
        <f>8*$H$24*E28</f>
        <v>2.264934292984369</v>
      </c>
      <c r="G28" s="3135">
        <f>0.47318*($C28-(VLOOKUP($D$28,C91:D134,2)))/(K79*28.35)</f>
        <v>5.5188457431393001E-2</v>
      </c>
      <c r="H28" s="3136">
        <f>8*$H$24*G28</f>
        <v>2.3841413610361779</v>
      </c>
      <c r="I28" s="1616"/>
      <c r="J28" s="1310"/>
      <c r="K28" s="5734" t="s">
        <v>912</v>
      </c>
      <c r="L28" s="5734"/>
      <c r="M28" s="5734"/>
      <c r="N28" s="2804" t="str">
        <f t="shared" si="1"/>
        <v>3.18g</v>
      </c>
      <c r="O28" s="1964">
        <v>101</v>
      </c>
      <c r="P28" s="1956" t="s">
        <v>854</v>
      </c>
      <c r="Q28" s="3105">
        <v>2.6</v>
      </c>
      <c r="R28" s="3105">
        <v>2.6</v>
      </c>
      <c r="S28" s="3106">
        <f t="shared" si="0"/>
        <v>2.6</v>
      </c>
      <c r="T28" s="1642"/>
    </row>
    <row r="29" spans="1:20" ht="16.5" customHeight="1">
      <c r="A29" s="1103"/>
      <c r="B29" s="1899"/>
      <c r="C29" s="5751" t="s">
        <v>846</v>
      </c>
      <c r="D29" s="5751"/>
      <c r="E29" s="3367">
        <f>28.35*E28</f>
        <v>1.4863631297709921</v>
      </c>
      <c r="F29" s="3368">
        <f>28.35*F28</f>
        <v>64.210887206106861</v>
      </c>
      <c r="G29" s="3369">
        <f>28.35*G28</f>
        <v>1.5645927681799916</v>
      </c>
      <c r="H29" s="3370">
        <f>28.35*H28</f>
        <v>67.590407585375644</v>
      </c>
      <c r="I29" s="1616"/>
      <c r="J29" s="1310"/>
      <c r="K29" s="5734" t="s">
        <v>1690</v>
      </c>
      <c r="L29" s="5734"/>
      <c r="M29" s="5734"/>
      <c r="N29" s="2804" t="str">
        <f t="shared" si="1"/>
        <v>4.60g</v>
      </c>
      <c r="O29" s="1964">
        <v>146</v>
      </c>
      <c r="P29" s="1956" t="s">
        <v>855</v>
      </c>
      <c r="Q29" s="3105">
        <v>3.6</v>
      </c>
      <c r="R29" s="3105">
        <v>4.5</v>
      </c>
      <c r="S29" s="3106">
        <f t="shared" si="0"/>
        <v>4.05</v>
      </c>
      <c r="T29" s="1642"/>
    </row>
    <row r="30" spans="1:20" ht="16.5" customHeight="1">
      <c r="A30" s="1103"/>
      <c r="B30" s="1899"/>
      <c r="C30" s="5752" t="s">
        <v>835</v>
      </c>
      <c r="D30" s="5752"/>
      <c r="E30" s="3137">
        <f>E29/$D$53</f>
        <v>0.47186131103841017</v>
      </c>
      <c r="F30" s="3138">
        <f>F29/$D$53</f>
        <v>20.384408636859323</v>
      </c>
      <c r="G30" s="3139">
        <f>G29/$D$53</f>
        <v>0.49669611688253701</v>
      </c>
      <c r="H30" s="3140">
        <f>H29/$D$53</f>
        <v>21.457272249325602</v>
      </c>
      <c r="I30" s="1616"/>
      <c r="J30" s="1310"/>
      <c r="K30" s="5753" t="s">
        <v>1818</v>
      </c>
      <c r="L30" s="5753"/>
      <c r="M30" s="5753"/>
      <c r="N30" s="2804" t="str">
        <f t="shared" si="1"/>
        <v>3.97g</v>
      </c>
      <c r="O30" s="1964">
        <v>126</v>
      </c>
      <c r="P30" s="1956" t="s">
        <v>856</v>
      </c>
      <c r="Q30" s="3105">
        <v>2.2000000000000002</v>
      </c>
      <c r="R30" s="3105">
        <v>3.1</v>
      </c>
      <c r="S30" s="3106">
        <f t="shared" si="0"/>
        <v>2.6500000000000004</v>
      </c>
      <c r="T30" s="1642"/>
    </row>
    <row r="31" spans="1:20" ht="16.5" customHeight="1">
      <c r="A31" s="1103"/>
      <c r="B31" s="1642"/>
      <c r="C31" s="1642"/>
      <c r="D31" s="1642"/>
      <c r="E31" s="1642"/>
      <c r="F31" s="1642"/>
      <c r="G31" s="1642"/>
      <c r="H31" s="1642"/>
      <c r="I31" s="1616"/>
      <c r="J31" s="1310"/>
      <c r="K31" s="5734" t="s">
        <v>914</v>
      </c>
      <c r="L31" s="5734"/>
      <c r="M31" s="5734"/>
      <c r="N31" s="2804" t="str">
        <f t="shared" si="1"/>
        <v>3.94g</v>
      </c>
      <c r="O31" s="1964">
        <v>125</v>
      </c>
      <c r="P31" s="1985" t="s">
        <v>857</v>
      </c>
      <c r="Q31" s="3105">
        <v>2.4</v>
      </c>
      <c r="R31" s="3105">
        <v>2.4</v>
      </c>
      <c r="S31" s="3106">
        <f t="shared" si="0"/>
        <v>2.4</v>
      </c>
      <c r="T31" s="1642"/>
    </row>
    <row r="32" spans="1:20" ht="16.5" customHeight="1">
      <c r="A32" s="1642"/>
      <c r="B32" s="1642"/>
      <c r="C32" s="1642"/>
      <c r="D32" s="1642"/>
      <c r="E32" s="1642"/>
      <c r="F32" s="1642"/>
      <c r="G32" s="1642"/>
      <c r="H32" s="1642"/>
      <c r="I32" s="1616"/>
      <c r="J32" s="1310"/>
      <c r="K32" s="5734" t="s">
        <v>915</v>
      </c>
      <c r="L32" s="5734"/>
      <c r="M32" s="5734"/>
      <c r="N32" s="2804" t="str">
        <f t="shared" si="1"/>
        <v>3.81g</v>
      </c>
      <c r="O32" s="1964">
        <v>121</v>
      </c>
      <c r="P32" s="1956" t="s">
        <v>858</v>
      </c>
      <c r="Q32" s="3105">
        <v>0.8</v>
      </c>
      <c r="R32" s="3105">
        <v>1.3</v>
      </c>
      <c r="S32" s="3106">
        <f t="shared" si="0"/>
        <v>1.05</v>
      </c>
      <c r="T32" s="1642"/>
    </row>
    <row r="33" spans="1:20" ht="16.5" customHeight="1">
      <c r="A33" s="5736" t="s">
        <v>1768</v>
      </c>
      <c r="B33" s="5736"/>
      <c r="C33" s="5736"/>
      <c r="D33" s="1103"/>
      <c r="E33" s="1103"/>
      <c r="F33" s="1103"/>
      <c r="G33" s="1103"/>
      <c r="H33" s="1103"/>
      <c r="I33" s="1616"/>
      <c r="J33" s="1310"/>
      <c r="K33" s="5737" t="s">
        <v>1691</v>
      </c>
      <c r="L33" s="5737"/>
      <c r="M33" s="5737"/>
      <c r="N33" s="2804" t="str">
        <f t="shared" si="1"/>
        <v>5.48g</v>
      </c>
      <c r="O33" s="1964">
        <v>174</v>
      </c>
      <c r="P33" s="1956" t="s">
        <v>859</v>
      </c>
      <c r="Q33" s="3105">
        <v>1.5</v>
      </c>
      <c r="R33" s="3105">
        <v>2.2999999999999998</v>
      </c>
      <c r="S33" s="3106">
        <f t="shared" si="0"/>
        <v>1.9</v>
      </c>
      <c r="T33" s="1642"/>
    </row>
    <row r="34" spans="1:20" ht="16.5" customHeight="1">
      <c r="A34" s="3542"/>
      <c r="B34" s="2531"/>
      <c r="C34" s="1979">
        <v>3.15</v>
      </c>
      <c r="D34" s="5738" t="str">
        <f>"g ̸ litre is equivalent to "&amp;1*FIXED((G34*C34),1)&amp;"g per"</f>
        <v>g ̸ litre is equivalent to 63.6g per</v>
      </c>
      <c r="E34" s="4434"/>
      <c r="F34" s="4645"/>
      <c r="G34" s="1980">
        <f>H7</f>
        <v>20.2</v>
      </c>
      <c r="H34" s="5739" t="s">
        <v>1726</v>
      </c>
      <c r="I34" s="5740"/>
      <c r="J34" s="1310"/>
      <c r="K34" s="5734" t="s">
        <v>916</v>
      </c>
      <c r="L34" s="5734"/>
      <c r="M34" s="5734"/>
      <c r="N34" s="2804" t="str">
        <f t="shared" si="1"/>
        <v>4.06g</v>
      </c>
      <c r="O34" s="3371">
        <v>129</v>
      </c>
      <c r="P34" s="1956" t="s">
        <v>860</v>
      </c>
      <c r="Q34" s="3105">
        <v>1.3</v>
      </c>
      <c r="R34" s="3105">
        <v>2</v>
      </c>
      <c r="S34" s="3106">
        <f t="shared" si="0"/>
        <v>1.65</v>
      </c>
      <c r="T34" s="1642"/>
    </row>
    <row r="35" spans="1:20" ht="16.5" customHeight="1">
      <c r="A35" s="1642"/>
      <c r="B35" s="1642"/>
      <c r="C35" s="1642"/>
      <c r="D35" s="1642"/>
      <c r="E35" s="1642"/>
      <c r="F35" s="1642"/>
      <c r="G35" s="1642"/>
      <c r="H35" s="1642"/>
      <c r="I35" s="1642"/>
      <c r="J35" s="1310"/>
      <c r="K35" s="5734" t="s">
        <v>917</v>
      </c>
      <c r="L35" s="5734"/>
      <c r="M35" s="5734"/>
      <c r="N35" s="2804" t="str">
        <f t="shared" si="1"/>
        <v>6.30g</v>
      </c>
      <c r="O35" s="1977">
        <v>200</v>
      </c>
      <c r="P35" s="1956" t="s">
        <v>862</v>
      </c>
      <c r="Q35" s="3105">
        <v>1.5</v>
      </c>
      <c r="R35" s="3105">
        <v>2.2999999999999998</v>
      </c>
      <c r="S35" s="3106">
        <f t="shared" si="0"/>
        <v>1.9</v>
      </c>
      <c r="T35" s="1642"/>
    </row>
    <row r="36" spans="1:20" ht="16.5" customHeight="1">
      <c r="A36" s="1642"/>
      <c r="B36" s="1642"/>
      <c r="C36" s="1642"/>
      <c r="D36" s="1642"/>
      <c r="E36" s="1642"/>
      <c r="F36" s="1642"/>
      <c r="G36" s="1642"/>
      <c r="H36" s="1642"/>
      <c r="I36" s="1642"/>
      <c r="J36" s="1310"/>
      <c r="K36" s="5734" t="s">
        <v>1823</v>
      </c>
      <c r="L36" s="5734"/>
      <c r="M36" s="5734"/>
      <c r="N36" s="2804" t="str">
        <f t="shared" si="1"/>
        <v>9.45g</v>
      </c>
      <c r="O36" s="1977">
        <v>300</v>
      </c>
      <c r="P36" s="1956" t="s">
        <v>864</v>
      </c>
      <c r="Q36" s="3105">
        <v>1.5</v>
      </c>
      <c r="R36" s="3105">
        <v>2.2999999999999998</v>
      </c>
      <c r="S36" s="3106">
        <f t="shared" si="0"/>
        <v>1.9</v>
      </c>
      <c r="T36" s="1642"/>
    </row>
    <row r="37" spans="1:20" ht="16.5" customHeight="1">
      <c r="A37" s="1103"/>
      <c r="B37" s="5731" t="s">
        <v>861</v>
      </c>
      <c r="C37" s="5731"/>
      <c r="D37" s="5731"/>
      <c r="E37" s="1642"/>
      <c r="F37" s="5731" t="s">
        <v>874</v>
      </c>
      <c r="G37" s="5731"/>
      <c r="H37" s="5731"/>
      <c r="I37" s="1948"/>
      <c r="J37" s="1310"/>
      <c r="K37" s="5735" t="s">
        <v>1668</v>
      </c>
      <c r="L37" s="5735"/>
      <c r="M37" s="5735"/>
      <c r="N37" s="2804" t="str">
        <f t="shared" si="1"/>
        <v>4.00g</v>
      </c>
      <c r="O37" s="1977">
        <v>127</v>
      </c>
      <c r="P37" s="1956" t="s">
        <v>866</v>
      </c>
      <c r="Q37" s="3105">
        <v>1.9</v>
      </c>
      <c r="R37" s="3105">
        <v>2.5</v>
      </c>
      <c r="S37" s="3106">
        <f t="shared" si="0"/>
        <v>2.2000000000000002</v>
      </c>
      <c r="T37" s="1642"/>
    </row>
    <row r="38" spans="1:20" ht="16.5" customHeight="1">
      <c r="A38" s="1757"/>
      <c r="B38" s="1962" t="s">
        <v>1699</v>
      </c>
      <c r="C38" s="1962" t="s">
        <v>863</v>
      </c>
      <c r="D38" s="1962" t="s">
        <v>1700</v>
      </c>
      <c r="E38" s="1642"/>
      <c r="F38" s="1998" t="s">
        <v>1701</v>
      </c>
      <c r="G38" s="1963" t="s">
        <v>877</v>
      </c>
      <c r="H38" s="1999" t="s">
        <v>1702</v>
      </c>
      <c r="I38" s="1114"/>
      <c r="J38" s="1310"/>
      <c r="K38" s="5735" t="s">
        <v>1669</v>
      </c>
      <c r="L38" s="5735"/>
      <c r="M38" s="5735"/>
      <c r="N38" s="2804" t="str">
        <f t="shared" si="1"/>
        <v>4.57g</v>
      </c>
      <c r="O38" s="1977">
        <v>145</v>
      </c>
      <c r="P38" s="1956" t="s">
        <v>867</v>
      </c>
      <c r="Q38" s="3105">
        <v>2.2999999999999998</v>
      </c>
      <c r="R38" s="3105">
        <v>2.6</v>
      </c>
      <c r="S38" s="3106">
        <f t="shared" si="0"/>
        <v>2.4500000000000002</v>
      </c>
      <c r="T38" s="1642"/>
    </row>
    <row r="39" spans="1:20" ht="16.5" customHeight="1">
      <c r="A39" s="1104"/>
      <c r="B39" s="1954">
        <f>((C39+40)*5/9)-40</f>
        <v>-6.6666666666666643</v>
      </c>
      <c r="C39" s="1965">
        <v>20</v>
      </c>
      <c r="D39" s="1962">
        <f>((C39+40)*9/5)-40</f>
        <v>68</v>
      </c>
      <c r="E39" s="1642"/>
      <c r="F39" s="1966">
        <f>G39*0.219974</f>
        <v>1.0998700000000001</v>
      </c>
      <c r="G39" s="1967">
        <v>5</v>
      </c>
      <c r="H39" s="1966">
        <f>F39*6/5</f>
        <v>1.3198440000000002</v>
      </c>
      <c r="I39" s="1114"/>
      <c r="J39" s="1310"/>
      <c r="K39" s="5729" t="s">
        <v>928</v>
      </c>
      <c r="L39" s="5729"/>
      <c r="M39" s="5729"/>
      <c r="N39" s="2804" t="str">
        <f t="shared" si="1"/>
        <v>3.24g</v>
      </c>
      <c r="O39" s="1981">
        <v>103</v>
      </c>
      <c r="P39" s="1956" t="s">
        <v>869</v>
      </c>
      <c r="Q39" s="3105">
        <v>2.5</v>
      </c>
      <c r="R39" s="3105">
        <v>2.5</v>
      </c>
      <c r="S39" s="3106">
        <f t="shared" si="0"/>
        <v>2.5</v>
      </c>
      <c r="T39" s="1642"/>
    </row>
    <row r="40" spans="1:20" ht="16.5" customHeight="1">
      <c r="A40" s="1104"/>
      <c r="B40" s="1295"/>
      <c r="C40" s="1295"/>
      <c r="D40" s="1295"/>
      <c r="E40" s="1642"/>
      <c r="F40" s="1757"/>
      <c r="G40" s="1757"/>
      <c r="H40" s="1757"/>
      <c r="I40" s="1114"/>
      <c r="J40" s="1310"/>
      <c r="K40" s="5730" t="s">
        <v>1670</v>
      </c>
      <c r="L40" s="5730"/>
      <c r="M40" s="5730"/>
      <c r="N40" s="5730"/>
      <c r="O40" s="1961"/>
      <c r="P40" s="1956" t="s">
        <v>871</v>
      </c>
      <c r="Q40" s="3105">
        <v>2.2000000000000002</v>
      </c>
      <c r="R40" s="3105">
        <v>2.7</v>
      </c>
      <c r="S40" s="3106">
        <f t="shared" si="0"/>
        <v>2.4500000000000002</v>
      </c>
      <c r="T40" s="1642"/>
    </row>
    <row r="41" spans="1:20" ht="16.5" customHeight="1">
      <c r="A41" s="2520"/>
      <c r="B41" s="5731" t="s">
        <v>868</v>
      </c>
      <c r="C41" s="5731"/>
      <c r="D41" s="5731"/>
      <c r="E41" s="1115"/>
      <c r="F41" s="1998" t="s">
        <v>1701</v>
      </c>
      <c r="G41" s="2000" t="s">
        <v>879</v>
      </c>
      <c r="H41" s="1999" t="s">
        <v>1702</v>
      </c>
      <c r="I41" s="1114"/>
      <c r="J41" s="1310"/>
      <c r="K41" s="5732" t="str">
        <f>"If the Calc's say "&amp;N20&amp;"g sugar/sucrose-(see cell N20 = "&amp;FIXED(N20/$D$53) &amp;" tsp), but if you want to use honey (cell K31), the equivalent amount is "&amp;N31&amp;" (cell N31)."</f>
        <v>If the Calc's say 3.15g sugar/sucrose-(see cell N20 = 1.00 tsp), but if you want to use honey (cell K31), the equivalent amount is 3.94g (cell N31).</v>
      </c>
      <c r="L41" s="5732"/>
      <c r="M41" s="5732"/>
      <c r="N41" s="5732"/>
      <c r="O41" s="2037"/>
      <c r="P41" s="1956" t="s">
        <v>872</v>
      </c>
      <c r="Q41" s="3105">
        <v>1.5</v>
      </c>
      <c r="R41" s="3105">
        <v>2.2999999999999998</v>
      </c>
      <c r="S41" s="3106">
        <f t="shared" si="0"/>
        <v>1.9</v>
      </c>
      <c r="T41" s="1642"/>
    </row>
    <row r="42" spans="1:20" ht="16.5" customHeight="1">
      <c r="A42" s="1104"/>
      <c r="B42" s="1962" t="s">
        <v>40</v>
      </c>
      <c r="C42" s="1962" t="s">
        <v>870</v>
      </c>
      <c r="D42" s="1968" t="s">
        <v>125</v>
      </c>
      <c r="E42" s="1115"/>
      <c r="F42" s="1971">
        <f>G42*5/6</f>
        <v>4.166666666666667</v>
      </c>
      <c r="G42" s="1972">
        <v>5</v>
      </c>
      <c r="H42" s="1973">
        <f>G42*6/5</f>
        <v>6</v>
      </c>
      <c r="I42" s="1114"/>
      <c r="J42" s="1310"/>
      <c r="K42" s="5732"/>
      <c r="L42" s="5732"/>
      <c r="M42" s="5732"/>
      <c r="N42" s="5732"/>
      <c r="O42" s="1310"/>
      <c r="P42" s="1956" t="s">
        <v>873</v>
      </c>
      <c r="Q42" s="3105">
        <v>1.5</v>
      </c>
      <c r="R42" s="3105">
        <v>2.2999999999999998</v>
      </c>
      <c r="S42" s="3106">
        <f t="shared" si="0"/>
        <v>1.9</v>
      </c>
      <c r="T42" s="1642"/>
    </row>
    <row r="43" spans="1:20" ht="16.5" customHeight="1">
      <c r="A43" s="1116"/>
      <c r="B43" s="1969">
        <f>C43*28.35</f>
        <v>113.4</v>
      </c>
      <c r="C43" s="1965">
        <v>4</v>
      </c>
      <c r="D43" s="1970">
        <f>C43/28.35</f>
        <v>0.14109347442680775</v>
      </c>
      <c r="E43" s="1115"/>
      <c r="F43" s="1115"/>
      <c r="G43" s="1115"/>
      <c r="H43" s="1115"/>
      <c r="I43" s="1616"/>
      <c r="J43" s="1310"/>
      <c r="K43" s="5732"/>
      <c r="L43" s="5732"/>
      <c r="M43" s="5732"/>
      <c r="N43" s="5732"/>
      <c r="O43" s="1310"/>
      <c r="P43" s="1956" t="s">
        <v>875</v>
      </c>
      <c r="Q43" s="3105">
        <v>1.6</v>
      </c>
      <c r="R43" s="3105">
        <v>2</v>
      </c>
      <c r="S43" s="3106">
        <f t="shared" si="0"/>
        <v>1.8</v>
      </c>
      <c r="T43" s="1642"/>
    </row>
    <row r="44" spans="1:20" ht="16.5" customHeight="1">
      <c r="A44" s="1104"/>
      <c r="B44" s="1105"/>
      <c r="C44" s="1105"/>
      <c r="D44" s="1105"/>
      <c r="E44" s="1115"/>
      <c r="F44" s="1115"/>
      <c r="G44" s="1115"/>
      <c r="H44" s="1115"/>
      <c r="I44" s="1295"/>
      <c r="J44" s="1310"/>
      <c r="K44" s="5732"/>
      <c r="L44" s="5732"/>
      <c r="M44" s="5732"/>
      <c r="N44" s="5732"/>
      <c r="O44" s="1310"/>
      <c r="P44" s="1956" t="s">
        <v>878</v>
      </c>
      <c r="Q44" s="3105">
        <v>2.4</v>
      </c>
      <c r="R44" s="3105">
        <v>2.7</v>
      </c>
      <c r="S44" s="3106">
        <f t="shared" si="0"/>
        <v>2.5499999999999998</v>
      </c>
      <c r="T44" s="1642"/>
    </row>
    <row r="45" spans="1:20" ht="16.5" customHeight="1">
      <c r="A45" s="1117"/>
      <c r="B45" s="1642"/>
      <c r="C45" s="1642"/>
      <c r="D45" s="1642"/>
      <c r="E45" s="1117"/>
      <c r="F45" s="1642"/>
      <c r="G45" s="1642"/>
      <c r="H45" s="1642"/>
      <c r="I45" s="1627"/>
      <c r="J45" s="1310"/>
      <c r="K45" s="5733" t="s">
        <v>1671</v>
      </c>
      <c r="L45" s="5733"/>
      <c r="M45" s="5733"/>
      <c r="N45" s="5733"/>
      <c r="O45" s="1310"/>
      <c r="P45" s="1974" t="s">
        <v>880</v>
      </c>
      <c r="Q45" s="3107">
        <v>2.4</v>
      </c>
      <c r="R45" s="3107">
        <v>2.7</v>
      </c>
      <c r="S45" s="3106">
        <f t="shared" si="0"/>
        <v>2.5499999999999998</v>
      </c>
      <c r="T45" s="1642"/>
    </row>
    <row r="46" spans="1:20" ht="16.5" customHeight="1">
      <c r="A46" s="5717" t="s">
        <v>888</v>
      </c>
      <c r="B46" s="5717"/>
      <c r="C46" s="5717"/>
      <c r="D46" s="1948"/>
      <c r="E46" s="1642"/>
      <c r="F46" s="2035"/>
      <c r="G46" s="2035"/>
      <c r="H46" s="2035"/>
      <c r="I46" s="2035"/>
      <c r="J46" s="1310"/>
      <c r="K46" s="5733"/>
      <c r="L46" s="5733"/>
      <c r="M46" s="5733"/>
      <c r="N46" s="5733"/>
      <c r="O46" s="1310"/>
      <c r="P46" s="2806" t="s">
        <v>881</v>
      </c>
      <c r="Q46" s="3107">
        <v>2.2000000000000002</v>
      </c>
      <c r="R46" s="3107">
        <v>2.7</v>
      </c>
      <c r="S46" s="3106">
        <f t="shared" si="0"/>
        <v>2.4500000000000002</v>
      </c>
      <c r="T46" s="1642"/>
    </row>
    <row r="47" spans="1:20" ht="16.5" customHeight="1">
      <c r="A47" s="4197" t="str">
        <f>"(1 tsp = "&amp;D53&amp;"g )"</f>
        <v>(1 tsp = 3.15g )</v>
      </c>
      <c r="B47" s="4197"/>
      <c r="C47" s="3587">
        <v>4.7249999999999996</v>
      </c>
      <c r="D47" s="5721" t="s">
        <v>180</v>
      </c>
      <c r="E47" s="5721"/>
      <c r="F47" s="5722" t="s">
        <v>1696</v>
      </c>
      <c r="G47" s="5722"/>
      <c r="H47" s="5722"/>
      <c r="I47" s="5722"/>
      <c r="J47" s="1310"/>
      <c r="K47" s="5723" t="s">
        <v>1765</v>
      </c>
      <c r="L47" s="5724"/>
      <c r="M47" s="5724"/>
      <c r="N47" s="5724"/>
      <c r="O47" s="1310"/>
      <c r="P47" s="1956" t="s">
        <v>882</v>
      </c>
      <c r="Q47" s="3105">
        <v>2.2000000000000002</v>
      </c>
      <c r="R47" s="3105">
        <v>3</v>
      </c>
      <c r="S47" s="3106">
        <f t="shared" si="0"/>
        <v>2.6</v>
      </c>
      <c r="T47" s="1642"/>
    </row>
    <row r="48" spans="1:20" ht="16.5" customHeight="1">
      <c r="B48" s="5728" t="str">
        <f>"This is equivalent to "&amp;C47/D53&amp;"level 5ml tsp ̸ litre"</f>
        <v>This is equivalent to 1.5level 5ml tsp ̸ litre</v>
      </c>
      <c r="C48" s="5728"/>
      <c r="D48" s="5728"/>
      <c r="E48" s="5728"/>
      <c r="F48" s="5725" t="s">
        <v>891</v>
      </c>
      <c r="G48" s="5725"/>
      <c r="H48" s="5725"/>
      <c r="I48" s="5725"/>
      <c r="J48" s="1310"/>
      <c r="K48" s="5724"/>
      <c r="L48" s="5724"/>
      <c r="M48" s="5724"/>
      <c r="N48" s="5724"/>
      <c r="O48" s="1310"/>
      <c r="P48" s="1956" t="s">
        <v>883</v>
      </c>
      <c r="Q48" s="3105">
        <v>2.2000000000000002</v>
      </c>
      <c r="R48" s="3105">
        <v>2.7</v>
      </c>
      <c r="S48" s="3106">
        <f t="shared" si="0"/>
        <v>2.4500000000000002</v>
      </c>
      <c r="T48" s="1642"/>
    </row>
    <row r="49" spans="1:20" ht="16.5" customHeight="1">
      <c r="A49" s="1975"/>
      <c r="B49" s="3360" t="s">
        <v>187</v>
      </c>
      <c r="C49" s="3588">
        <v>500</v>
      </c>
      <c r="D49" s="5726" t="s">
        <v>188</v>
      </c>
      <c r="E49" s="5726"/>
      <c r="F49" s="5727" t="s">
        <v>214</v>
      </c>
      <c r="G49" s="5727"/>
      <c r="H49" s="5727"/>
      <c r="I49" s="5727"/>
      <c r="J49" s="1976"/>
      <c r="K49" s="5724"/>
      <c r="L49" s="5724"/>
      <c r="M49" s="5724"/>
      <c r="N49" s="5724"/>
      <c r="O49" s="1310"/>
      <c r="P49" s="1956" t="s">
        <v>884</v>
      </c>
      <c r="Q49" s="3105">
        <v>2.6</v>
      </c>
      <c r="R49" s="3105">
        <v>2.7</v>
      </c>
      <c r="S49" s="3106">
        <f t="shared" si="0"/>
        <v>2.6500000000000004</v>
      </c>
      <c r="T49" s="1642"/>
    </row>
    <row r="50" spans="1:20" ht="16.5" customHeight="1">
      <c r="A50" s="1975"/>
      <c r="B50" s="5720" t="str">
        <f>"     use "&amp;FIXED((C47*C49/1000),3)&amp;"g or "&amp;FIXED((C47*C49/(1000*D53)),3)&amp;" level 5ml tsp."</f>
        <v xml:space="preserve">     use 2.363g or 0.750 level 5ml tsp.</v>
      </c>
      <c r="C50" s="5720"/>
      <c r="D50" s="5720"/>
      <c r="E50" s="5720"/>
      <c r="F50" s="5712" t="s">
        <v>1776</v>
      </c>
      <c r="G50" s="5712"/>
      <c r="H50" s="5712"/>
      <c r="I50" s="5712"/>
      <c r="J50" s="5712"/>
      <c r="K50" s="5724"/>
      <c r="L50" s="5724"/>
      <c r="M50" s="5724"/>
      <c r="N50" s="5724"/>
      <c r="O50" s="1310"/>
      <c r="P50" s="1956" t="s">
        <v>885</v>
      </c>
      <c r="Q50" s="3105">
        <v>2.2999999999999998</v>
      </c>
      <c r="R50" s="3105">
        <v>2.7</v>
      </c>
      <c r="S50" s="3106">
        <f t="shared" si="0"/>
        <v>2.5</v>
      </c>
      <c r="T50" s="1642"/>
    </row>
    <row r="51" spans="1:20" ht="16.5" customHeight="1">
      <c r="A51" s="1642"/>
      <c r="B51" s="1642"/>
      <c r="C51" s="1642"/>
      <c r="D51" s="1642"/>
      <c r="E51" s="1642"/>
      <c r="F51" s="1642"/>
      <c r="G51" s="1642"/>
      <c r="H51" s="1642"/>
      <c r="I51" s="1642"/>
      <c r="J51" s="1310"/>
      <c r="K51" s="5724"/>
      <c r="L51" s="5724"/>
      <c r="M51" s="5724"/>
      <c r="N51" s="5724"/>
      <c r="O51" s="1310"/>
      <c r="P51" s="1956" t="s">
        <v>886</v>
      </c>
      <c r="Q51" s="3105">
        <v>2.2000000000000002</v>
      </c>
      <c r="R51" s="3105">
        <v>2.7</v>
      </c>
      <c r="S51" s="3106">
        <f t="shared" si="0"/>
        <v>2.4500000000000002</v>
      </c>
      <c r="T51" s="1642"/>
    </row>
    <row r="52" spans="1:20" ht="16.5" customHeight="1">
      <c r="A52" s="1117"/>
      <c r="B52" s="1642"/>
      <c r="C52" s="1642"/>
      <c r="D52" s="1642"/>
      <c r="E52" s="1117"/>
      <c r="F52" s="1642"/>
      <c r="G52" s="1642"/>
      <c r="H52" s="1642"/>
      <c r="I52" s="1978"/>
      <c r="J52" s="1310"/>
      <c r="K52" s="3856" t="s">
        <v>1946</v>
      </c>
      <c r="L52" s="2798"/>
      <c r="M52" s="2798"/>
      <c r="N52" s="2798"/>
      <c r="O52" s="1310"/>
      <c r="P52" s="1956" t="s">
        <v>887</v>
      </c>
      <c r="Q52" s="3105">
        <v>1.9</v>
      </c>
      <c r="R52" s="3105">
        <v>2.5</v>
      </c>
      <c r="S52" s="3106">
        <f t="shared" si="0"/>
        <v>2.2000000000000002</v>
      </c>
      <c r="T52" s="1642"/>
    </row>
    <row r="53" spans="1:20" ht="16.5" customHeight="1">
      <c r="A53" s="1117"/>
      <c r="B53" s="5713" t="s">
        <v>1763</v>
      </c>
      <c r="C53" s="5714"/>
      <c r="D53" s="3372">
        <v>3.15</v>
      </c>
      <c r="E53" s="3435" t="str">
        <f>"g = "&amp;FIXED((D53*0.035274),3)&amp;" oz"</f>
        <v>g = 0.111 oz</v>
      </c>
      <c r="F53" s="1642"/>
      <c r="G53" s="1642"/>
      <c r="H53" s="1642"/>
      <c r="I53" s="1978"/>
      <c r="J53" s="1310"/>
      <c r="K53" s="5715" t="s">
        <v>63</v>
      </c>
      <c r="L53" s="5716" t="s">
        <v>1849</v>
      </c>
      <c r="M53" s="5716"/>
      <c r="N53" s="2799"/>
      <c r="O53" s="2561"/>
      <c r="P53" s="1956" t="s">
        <v>889</v>
      </c>
      <c r="Q53" s="3105">
        <v>1.7</v>
      </c>
      <c r="R53" s="3105">
        <v>2.5</v>
      </c>
      <c r="S53" s="3106">
        <f t="shared" si="0"/>
        <v>2.1</v>
      </c>
      <c r="T53" s="1642"/>
    </row>
    <row r="54" spans="1:20" ht="16.5" customHeight="1">
      <c r="A54" s="1117"/>
      <c r="B54" s="1642"/>
      <c r="C54" s="1642"/>
      <c r="D54" s="1642"/>
      <c r="E54" s="1117"/>
      <c r="F54" s="1642"/>
      <c r="G54" s="1642"/>
      <c r="H54" s="1642"/>
      <c r="I54" s="1978"/>
      <c r="J54" s="1310"/>
      <c r="K54" s="5715"/>
      <c r="L54" s="2800" t="s">
        <v>61</v>
      </c>
      <c r="M54" s="2800" t="s">
        <v>865</v>
      </c>
      <c r="N54" s="2799"/>
      <c r="O54" s="2037"/>
      <c r="P54" s="1956" t="s">
        <v>890</v>
      </c>
      <c r="Q54" s="3105">
        <v>2.2000000000000002</v>
      </c>
      <c r="R54" s="3105">
        <v>2.6</v>
      </c>
      <c r="S54" s="3106">
        <f t="shared" si="0"/>
        <v>2.4000000000000004</v>
      </c>
      <c r="T54" s="1642"/>
    </row>
    <row r="55" spans="1:20" ht="16.5" customHeight="1">
      <c r="A55" s="1642"/>
      <c r="B55" s="1642"/>
      <c r="C55" s="1642"/>
      <c r="D55" s="1642"/>
      <c r="E55" s="1642"/>
      <c r="F55" s="1642"/>
      <c r="G55" s="1642"/>
      <c r="H55" s="1642"/>
      <c r="I55" s="1642"/>
      <c r="J55" s="1310"/>
      <c r="K55" s="2800">
        <f>0.25</f>
        <v>0.25</v>
      </c>
      <c r="L55" s="2801">
        <f t="shared" ref="L55:L68" si="2">K55*D$53</f>
        <v>0.78749999999999998</v>
      </c>
      <c r="M55" s="2802">
        <f t="shared" ref="M55:M65" si="3">L55/28.3495</f>
        <v>2.7778267694315597E-2</v>
      </c>
      <c r="N55" s="2799"/>
      <c r="O55" s="2037"/>
      <c r="P55" s="1956" t="s">
        <v>892</v>
      </c>
      <c r="Q55" s="3105">
        <v>0.8</v>
      </c>
      <c r="R55" s="3105">
        <v>1.3</v>
      </c>
      <c r="S55" s="3106">
        <f t="shared" si="0"/>
        <v>1.05</v>
      </c>
      <c r="T55" s="1642"/>
    </row>
    <row r="56" spans="1:20" ht="16.5" customHeight="1">
      <c r="A56" s="5717" t="s">
        <v>1848</v>
      </c>
      <c r="B56" s="5717"/>
      <c r="C56" s="5717"/>
      <c r="D56" s="5717"/>
      <c r="E56" s="1642"/>
      <c r="F56" s="1642"/>
      <c r="G56" s="1642"/>
      <c r="H56" s="1642"/>
      <c r="I56" s="1642"/>
      <c r="J56" s="1310"/>
      <c r="K56" s="2800">
        <f t="shared" ref="K56:K67" si="4">K55+0.25</f>
        <v>0.5</v>
      </c>
      <c r="L56" s="2801">
        <f t="shared" si="2"/>
        <v>1.575</v>
      </c>
      <c r="M56" s="2802">
        <f t="shared" si="3"/>
        <v>5.5556535388631194E-2</v>
      </c>
      <c r="N56" s="2799"/>
      <c r="O56" s="2037"/>
      <c r="P56" s="1956" t="s">
        <v>893</v>
      </c>
      <c r="Q56" s="3105">
        <v>1.6</v>
      </c>
      <c r="R56" s="3105">
        <v>2</v>
      </c>
      <c r="S56" s="3106">
        <f t="shared" si="0"/>
        <v>1.8</v>
      </c>
      <c r="T56" s="1642"/>
    </row>
    <row r="57" spans="1:20" ht="16.5" customHeight="1">
      <c r="A57" s="1642"/>
      <c r="B57" s="3361" t="s">
        <v>218</v>
      </c>
      <c r="C57" s="5718" t="s">
        <v>219</v>
      </c>
      <c r="D57" s="5719"/>
      <c r="E57" s="1982" t="s">
        <v>1809</v>
      </c>
      <c r="F57" s="1642"/>
      <c r="G57" s="1642"/>
      <c r="H57" s="1642"/>
      <c r="I57" s="1978"/>
      <c r="J57" s="1310"/>
      <c r="K57" s="2800">
        <f t="shared" si="4"/>
        <v>0.75</v>
      </c>
      <c r="L57" s="2801">
        <f t="shared" si="2"/>
        <v>2.3624999999999998</v>
      </c>
      <c r="M57" s="2802">
        <f t="shared" si="3"/>
        <v>8.3334803082946787E-2</v>
      </c>
      <c r="N57" s="2799"/>
      <c r="O57" s="2037"/>
      <c r="P57" s="1956" t="s">
        <v>894</v>
      </c>
      <c r="Q57" s="3105">
        <v>2.2999999999999998</v>
      </c>
      <c r="R57" s="3105">
        <v>2.4</v>
      </c>
      <c r="S57" s="3106">
        <f t="shared" si="0"/>
        <v>2.3499999999999996</v>
      </c>
      <c r="T57" s="1642"/>
    </row>
    <row r="58" spans="1:20" ht="16.5" customHeight="1">
      <c r="A58" s="1642"/>
      <c r="B58" s="1983" t="str">
        <f>FIXED(C58*0.2489/0.262)&amp;"g"</f>
        <v>2.99g</v>
      </c>
      <c r="C58" s="5704">
        <v>3.15</v>
      </c>
      <c r="D58" s="5705"/>
      <c r="E58" s="1984" t="str">
        <f>FIXED(C58*K72/K79)&amp;"g"</f>
        <v>3.32g</v>
      </c>
      <c r="F58" s="1642"/>
      <c r="G58" s="5695"/>
      <c r="H58" s="5695"/>
      <c r="I58" s="1642"/>
      <c r="J58" s="1310"/>
      <c r="K58" s="2800">
        <f t="shared" si="4"/>
        <v>1</v>
      </c>
      <c r="L58" s="2801">
        <f t="shared" si="2"/>
        <v>3.15</v>
      </c>
      <c r="M58" s="2802">
        <f t="shared" si="3"/>
        <v>0.11111307077726239</v>
      </c>
      <c r="N58" s="2799"/>
      <c r="O58" s="1310"/>
      <c r="P58" s="1956" t="s">
        <v>895</v>
      </c>
      <c r="Q58" s="3105">
        <v>2</v>
      </c>
      <c r="R58" s="3105">
        <v>2.6</v>
      </c>
      <c r="S58" s="3106">
        <f t="shared" si="0"/>
        <v>2.2999999999999998</v>
      </c>
      <c r="T58" s="1642"/>
    </row>
    <row r="59" spans="1:20" ht="16.5" customHeight="1">
      <c r="A59" s="1642"/>
      <c r="B59" s="1642"/>
      <c r="C59" s="1642"/>
      <c r="D59" s="1642"/>
      <c r="E59" s="1642"/>
      <c r="F59" s="1642"/>
      <c r="G59" s="1642"/>
      <c r="H59" s="1642"/>
      <c r="I59" s="1642"/>
      <c r="J59" s="1310"/>
      <c r="K59" s="2800">
        <f t="shared" si="4"/>
        <v>1.25</v>
      </c>
      <c r="L59" s="2801">
        <f t="shared" si="2"/>
        <v>3.9375</v>
      </c>
      <c r="M59" s="2802">
        <f t="shared" si="3"/>
        <v>0.13889133847157797</v>
      </c>
      <c r="N59" s="2799"/>
      <c r="O59" s="1310"/>
      <c r="P59" s="1956" t="s">
        <v>896</v>
      </c>
      <c r="Q59" s="3105">
        <v>1.5</v>
      </c>
      <c r="R59" s="3105">
        <v>2.2999999999999998</v>
      </c>
      <c r="S59" s="3106">
        <f t="shared" si="0"/>
        <v>1.9</v>
      </c>
      <c r="T59" s="1642"/>
    </row>
    <row r="60" spans="1:20" ht="16.5" customHeight="1">
      <c r="A60" s="1642"/>
      <c r="B60" s="1642"/>
      <c r="C60" s="1642"/>
      <c r="D60" s="1642"/>
      <c r="E60" s="1642"/>
      <c r="F60" s="1642"/>
      <c r="G60" s="1642"/>
      <c r="H60" s="1642"/>
      <c r="I60" s="1642"/>
      <c r="J60" s="1310"/>
      <c r="K60" s="2800">
        <f t="shared" si="4"/>
        <v>1.5</v>
      </c>
      <c r="L60" s="2801">
        <f t="shared" si="2"/>
        <v>4.7249999999999996</v>
      </c>
      <c r="M60" s="2802">
        <f t="shared" si="3"/>
        <v>0.16666960616589357</v>
      </c>
      <c r="N60" s="2799"/>
      <c r="O60" s="1310"/>
      <c r="P60" s="1956" t="s">
        <v>897</v>
      </c>
      <c r="Q60" s="3105">
        <v>2.4</v>
      </c>
      <c r="R60" s="3105">
        <v>2.6</v>
      </c>
      <c r="S60" s="3106">
        <f t="shared" si="0"/>
        <v>2.5</v>
      </c>
      <c r="T60" s="1642"/>
    </row>
    <row r="61" spans="1:20" ht="16.5" customHeight="1">
      <c r="A61" s="5706" t="s">
        <v>1775</v>
      </c>
      <c r="B61" s="5706"/>
      <c r="C61" s="5706"/>
      <c r="D61" s="5706"/>
      <c r="E61" s="5706"/>
      <c r="F61" s="5706"/>
      <c r="G61" s="2503"/>
      <c r="H61" s="2503"/>
      <c r="I61" s="2503"/>
      <c r="J61" s="1310"/>
      <c r="K61" s="2800">
        <f t="shared" si="4"/>
        <v>1.75</v>
      </c>
      <c r="L61" s="2801">
        <f t="shared" si="2"/>
        <v>5.5125000000000002</v>
      </c>
      <c r="M61" s="2802">
        <f t="shared" si="3"/>
        <v>0.19444787386020917</v>
      </c>
      <c r="N61" s="2799"/>
      <c r="O61" s="1310"/>
      <c r="P61" s="1956" t="s">
        <v>898</v>
      </c>
      <c r="Q61" s="3105">
        <v>3.6</v>
      </c>
      <c r="R61" s="3105">
        <v>4.5</v>
      </c>
      <c r="S61" s="3106">
        <f t="shared" si="0"/>
        <v>4.05</v>
      </c>
      <c r="T61" s="1642"/>
    </row>
    <row r="62" spans="1:20" ht="16.5" customHeight="1">
      <c r="A62" s="1642"/>
      <c r="B62" s="3362" t="s">
        <v>918</v>
      </c>
      <c r="C62" s="3362" t="s">
        <v>1697</v>
      </c>
      <c r="D62" s="3141" t="s">
        <v>919</v>
      </c>
      <c r="E62" s="5707" t="s">
        <v>1774</v>
      </c>
      <c r="F62" s="5707"/>
      <c r="G62" s="5707"/>
      <c r="H62" s="3142" t="s">
        <v>920</v>
      </c>
      <c r="I62" s="3142" t="s">
        <v>1811</v>
      </c>
      <c r="J62" s="1310"/>
      <c r="K62" s="2800">
        <f t="shared" si="4"/>
        <v>2</v>
      </c>
      <c r="L62" s="2801">
        <f t="shared" si="2"/>
        <v>6.3</v>
      </c>
      <c r="M62" s="2802">
        <f t="shared" si="3"/>
        <v>0.22222614155452478</v>
      </c>
      <c r="N62" s="2799"/>
      <c r="O62" s="1310"/>
      <c r="P62" s="1985" t="s">
        <v>525</v>
      </c>
      <c r="Q62" s="3105"/>
      <c r="R62" s="3105"/>
      <c r="S62" s="3106">
        <f t="shared" si="0"/>
        <v>0</v>
      </c>
      <c r="T62" s="1642"/>
    </row>
    <row r="63" spans="1:20" ht="16.5" customHeight="1">
      <c r="A63" s="1117"/>
      <c r="B63" s="3143">
        <f>C11</f>
        <v>1.7</v>
      </c>
      <c r="C63" s="3144">
        <f>D11</f>
        <v>20</v>
      </c>
      <c r="D63" s="3145">
        <f>((C63+40)*(9/5))-40</f>
        <v>68</v>
      </c>
      <c r="E63" s="3146" t="str">
        <f>FIXED(SUM(-16.6999,PRODUCT(-0.0101059,$D63),PRODUCT(0.00116512,($D63^2)),PRODUCT(0.173354,$D63,B63),PRODUCT(4.24267,B63),PRODUCT(-0.0684226,(B63^2))),2)</f>
        <v>15.05</v>
      </c>
      <c r="F63" s="3147">
        <f>E63*0.068046</f>
        <v>1.0240923</v>
      </c>
      <c r="G63" s="3147">
        <f>E63*0.068948</f>
        <v>1.0376673999999999</v>
      </c>
      <c r="H63" s="3148" t="str">
        <f>FIXED(((B63-VLOOKUP(C63,B91:D134,3))/K72),3)</f>
        <v>3.141</v>
      </c>
      <c r="I63" s="3148" t="str">
        <f>FIXED(((B63-VLOOKUP(C63,B91:D134,3))/K79),3)</f>
        <v>3.307</v>
      </c>
      <c r="J63" s="1986"/>
      <c r="K63" s="2800">
        <f t="shared" si="4"/>
        <v>2.25</v>
      </c>
      <c r="L63" s="2801">
        <f t="shared" si="2"/>
        <v>7.0874999999999995</v>
      </c>
      <c r="M63" s="2802">
        <f t="shared" si="3"/>
        <v>0.25000440924884038</v>
      </c>
      <c r="N63" s="2799"/>
      <c r="O63" s="1310"/>
      <c r="P63" s="1985" t="s">
        <v>525</v>
      </c>
      <c r="Q63" s="3105"/>
      <c r="R63" s="3105"/>
      <c r="S63" s="3106">
        <f t="shared" si="0"/>
        <v>0</v>
      </c>
      <c r="T63" s="1642"/>
    </row>
    <row r="64" spans="1:20" ht="16.5" customHeight="1">
      <c r="A64" s="1642"/>
      <c r="B64" s="2528" t="s">
        <v>921</v>
      </c>
      <c r="C64" s="2528" t="s">
        <v>922</v>
      </c>
      <c r="D64" s="2529"/>
      <c r="E64" s="1117"/>
      <c r="F64" s="1117"/>
      <c r="G64" s="1117"/>
      <c r="H64" s="2530" t="str">
        <f>"= "&amp;FIXED(H63/D53,3)&amp;" tsp"</f>
        <v>= 0.997 tsp</v>
      </c>
      <c r="I64" s="2530" t="str">
        <f>"= "&amp;FIXED(I63/D53,3)&amp;" tsp"</f>
        <v>= 1.050 tsp</v>
      </c>
      <c r="J64" s="1310"/>
      <c r="K64" s="2800">
        <f t="shared" si="4"/>
        <v>2.5</v>
      </c>
      <c r="L64" s="2801">
        <f t="shared" si="2"/>
        <v>7.875</v>
      </c>
      <c r="M64" s="2802">
        <f t="shared" si="3"/>
        <v>0.27778267694315595</v>
      </c>
      <c r="N64" s="2799"/>
      <c r="O64" s="1310"/>
      <c r="P64" s="1985" t="s">
        <v>525</v>
      </c>
      <c r="Q64" s="3105"/>
      <c r="R64" s="3105"/>
      <c r="S64" s="3106">
        <f t="shared" si="0"/>
        <v>0</v>
      </c>
      <c r="T64" s="1642"/>
    </row>
    <row r="65" spans="1:20" ht="16.5" customHeight="1">
      <c r="A65" s="1642"/>
      <c r="B65" s="1642"/>
      <c r="C65" s="1642"/>
      <c r="D65" s="1642"/>
      <c r="E65" s="1642"/>
      <c r="F65" s="1642"/>
      <c r="G65" s="1642"/>
      <c r="H65" s="1642"/>
      <c r="I65" s="1642"/>
      <c r="J65" s="1310"/>
      <c r="K65" s="2800">
        <f t="shared" si="4"/>
        <v>2.75</v>
      </c>
      <c r="L65" s="2801">
        <f t="shared" si="2"/>
        <v>8.6624999999999996</v>
      </c>
      <c r="M65" s="2802">
        <f t="shared" si="3"/>
        <v>0.30556094463747158</v>
      </c>
      <c r="N65" s="2799"/>
      <c r="O65" s="1642"/>
      <c r="P65" s="1985" t="s">
        <v>1949</v>
      </c>
      <c r="Q65" s="3105"/>
      <c r="R65" s="3105"/>
      <c r="S65" s="3106">
        <f t="shared" si="0"/>
        <v>0</v>
      </c>
      <c r="T65" s="1642"/>
    </row>
    <row r="66" spans="1:20" ht="16.5" customHeight="1">
      <c r="A66" s="1642"/>
      <c r="B66" s="1642"/>
      <c r="C66" s="1642"/>
      <c r="D66" s="1642"/>
      <c r="E66" s="1642"/>
      <c r="F66" s="1642"/>
      <c r="G66" s="1642"/>
      <c r="H66" s="1642"/>
      <c r="I66" s="1642"/>
      <c r="J66" s="1310"/>
      <c r="K66" s="2800">
        <f t="shared" si="4"/>
        <v>3</v>
      </c>
      <c r="L66" s="2801">
        <f t="shared" si="2"/>
        <v>9.4499999999999993</v>
      </c>
      <c r="M66" s="2802">
        <f>L66/28.3495</f>
        <v>0.33333921233178715</v>
      </c>
      <c r="N66" s="2799"/>
      <c r="O66" s="1642"/>
      <c r="P66" s="2500" t="s">
        <v>899</v>
      </c>
      <c r="Q66" s="3373">
        <v>1.7</v>
      </c>
      <c r="R66" s="3373">
        <v>2.5</v>
      </c>
      <c r="S66" s="3108">
        <f>(Q66+R66)/2</f>
        <v>2.1</v>
      </c>
      <c r="T66" s="1642"/>
    </row>
    <row r="67" spans="1:20" ht="16.5" customHeight="1">
      <c r="A67" s="5708" t="s">
        <v>902</v>
      </c>
      <c r="B67" s="5708"/>
      <c r="C67" s="1642"/>
      <c r="D67" s="1642"/>
      <c r="E67" s="1642"/>
      <c r="F67" s="1642"/>
      <c r="G67" s="1642"/>
      <c r="H67" s="1642"/>
      <c r="I67" s="1642"/>
      <c r="J67" s="1986"/>
      <c r="K67" s="2800">
        <f t="shared" si="4"/>
        <v>3.25</v>
      </c>
      <c r="L67" s="2801">
        <f>K67*D$53</f>
        <v>10.237499999999999</v>
      </c>
      <c r="M67" s="2802">
        <f>L67/28.3495</f>
        <v>0.36111748002610272</v>
      </c>
      <c r="N67" s="2799"/>
      <c r="O67" s="1642"/>
      <c r="P67" s="5690" t="str">
        <f>"(Where `"&amp;FIXED((Q66+R66)/2)&amp;"` would indicate "&amp;FIXED((Q66+R66)/2)&amp;" litres CO2 dissolved in 1 litre)"</f>
        <v>(Where `2.10` would indicate 2.10 litres CO2 dissolved in 1 litre)</v>
      </c>
      <c r="Q67" s="5691"/>
      <c r="R67" s="5691"/>
      <c r="S67" s="5692"/>
      <c r="T67" s="1642"/>
    </row>
    <row r="68" spans="1:20" ht="16.5" customHeight="1">
      <c r="A68" s="2521"/>
      <c r="B68" s="5696" t="s">
        <v>1819</v>
      </c>
      <c r="C68" s="5696"/>
      <c r="D68" s="5696"/>
      <c r="E68" s="5696"/>
      <c r="F68" s="5696"/>
      <c r="G68" s="5696"/>
      <c r="H68" s="5696"/>
      <c r="I68" s="5696"/>
      <c r="J68" s="1642"/>
      <c r="K68" s="2803">
        <v>5</v>
      </c>
      <c r="L68" s="2801">
        <f t="shared" si="2"/>
        <v>15.75</v>
      </c>
      <c r="M68" s="2802">
        <f>L68/28.3495</f>
        <v>0.5555653538863119</v>
      </c>
      <c r="N68" s="2443"/>
      <c r="O68" s="1642"/>
      <c r="P68" s="5709" t="s">
        <v>900</v>
      </c>
      <c r="Q68" s="5710"/>
      <c r="R68" s="5711"/>
      <c r="S68" s="1987" t="s">
        <v>901</v>
      </c>
      <c r="T68" s="1642"/>
    </row>
    <row r="69" spans="1:20" ht="16.5" customHeight="1">
      <c r="A69" s="1642"/>
      <c r="B69" s="5696"/>
      <c r="C69" s="5696"/>
      <c r="D69" s="5696"/>
      <c r="E69" s="5696"/>
      <c r="F69" s="5696"/>
      <c r="G69" s="5696"/>
      <c r="H69" s="5696"/>
      <c r="I69" s="5696"/>
      <c r="J69" s="1310"/>
      <c r="K69" s="1310"/>
      <c r="L69" s="1310"/>
      <c r="M69" s="1642"/>
      <c r="N69" s="5697" t="s">
        <v>1764</v>
      </c>
      <c r="O69" s="5697"/>
      <c r="P69" s="5697"/>
      <c r="Q69" s="1642"/>
      <c r="R69" s="1642"/>
      <c r="S69" s="1642"/>
      <c r="T69" s="1642"/>
    </row>
    <row r="70" spans="1:20" ht="16.5" customHeight="1">
      <c r="A70" s="1642"/>
      <c r="B70" s="5696"/>
      <c r="C70" s="5696"/>
      <c r="D70" s="5696"/>
      <c r="E70" s="5696"/>
      <c r="F70" s="5696"/>
      <c r="G70" s="5696"/>
      <c r="H70" s="5696"/>
      <c r="I70" s="5696"/>
      <c r="J70" s="1310"/>
      <c r="K70" s="1310"/>
      <c r="L70" s="1310"/>
      <c r="M70" s="1310"/>
      <c r="N70" s="5697"/>
      <c r="O70" s="5697"/>
      <c r="P70" s="5697"/>
      <c r="Q70" s="1642"/>
      <c r="R70" s="1642"/>
      <c r="S70" s="1642"/>
      <c r="T70" s="1642"/>
    </row>
    <row r="71" spans="1:20" ht="16.5" customHeight="1">
      <c r="A71" s="1642"/>
      <c r="B71" s="1642"/>
      <c r="C71" s="1642"/>
      <c r="D71" s="1642"/>
      <c r="E71" s="1642"/>
      <c r="F71" s="1642"/>
      <c r="G71" s="1642"/>
      <c r="H71" s="1642"/>
      <c r="I71" s="1642"/>
      <c r="J71" s="1310"/>
      <c r="K71" s="1310"/>
      <c r="L71" s="1310"/>
      <c r="M71" s="1310"/>
      <c r="N71" s="5698" t="s">
        <v>1777</v>
      </c>
      <c r="O71" s="5698"/>
      <c r="P71" s="5698"/>
      <c r="Q71" s="5698"/>
      <c r="R71" s="5698"/>
      <c r="S71" s="5698"/>
      <c r="T71" s="1642"/>
    </row>
    <row r="72" spans="1:20" ht="16.5" customHeight="1">
      <c r="A72" s="1627"/>
      <c r="B72" s="1989" t="s">
        <v>1767</v>
      </c>
      <c r="C72" s="1989"/>
      <c r="D72" s="1989"/>
      <c r="E72" s="1989"/>
      <c r="F72" s="1989"/>
      <c r="G72" s="1989"/>
      <c r="H72" s="1989"/>
      <c r="I72" s="5699" t="s">
        <v>904</v>
      </c>
      <c r="J72" s="5699"/>
      <c r="K72" s="1118">
        <v>0.26200000000000001</v>
      </c>
      <c r="L72" s="1622" t="s">
        <v>905</v>
      </c>
      <c r="M72" s="1310"/>
      <c r="N72" s="5698"/>
      <c r="O72" s="5698"/>
      <c r="P72" s="5698"/>
      <c r="Q72" s="5698"/>
      <c r="R72" s="5698"/>
      <c r="S72" s="5698"/>
      <c r="T72" s="1642"/>
    </row>
    <row r="73" spans="1:20" ht="16.5" customHeight="1">
      <c r="A73" s="1627"/>
      <c r="B73" s="5700" t="s">
        <v>1769</v>
      </c>
      <c r="C73" s="5700"/>
      <c r="D73" s="5700"/>
      <c r="E73" s="5700"/>
      <c r="F73" s="5700"/>
      <c r="G73" s="5700"/>
      <c r="H73" s="5700"/>
      <c r="I73" s="5700"/>
      <c r="J73" s="1990" t="s">
        <v>906</v>
      </c>
      <c r="K73" s="1119">
        <f>89.6/342</f>
        <v>0.26198830409356721</v>
      </c>
      <c r="L73" s="1310"/>
      <c r="M73" s="1310"/>
      <c r="N73" s="5698"/>
      <c r="O73" s="5698"/>
      <c r="P73" s="5698"/>
      <c r="Q73" s="5698"/>
      <c r="R73" s="5698"/>
      <c r="S73" s="5698"/>
      <c r="T73" s="1642"/>
    </row>
    <row r="74" spans="1:20" ht="16.5" customHeight="1">
      <c r="A74" s="1627"/>
      <c r="B74" s="5700" t="s">
        <v>1856</v>
      </c>
      <c r="C74" s="5700"/>
      <c r="D74" s="5700"/>
      <c r="E74" s="5700"/>
      <c r="F74" s="5700"/>
      <c r="G74" s="5700"/>
      <c r="H74" s="5700"/>
      <c r="I74" s="1953"/>
      <c r="J74" s="1953"/>
      <c r="K74" s="1953"/>
      <c r="L74" s="1953"/>
      <c r="M74" s="1310"/>
      <c r="N74" s="5698"/>
      <c r="O74" s="5698"/>
      <c r="P74" s="5698"/>
      <c r="Q74" s="5698"/>
      <c r="R74" s="5698"/>
      <c r="S74" s="5698"/>
      <c r="T74" s="1642"/>
    </row>
    <row r="75" spans="1:20" ht="16.5" customHeight="1">
      <c r="A75" s="1627"/>
      <c r="B75" s="1618"/>
      <c r="C75" s="1619"/>
      <c r="D75" s="1618"/>
      <c r="E75" s="1618"/>
      <c r="F75" s="1618"/>
      <c r="G75" s="5701" t="s">
        <v>1771</v>
      </c>
      <c r="H75" s="5701"/>
      <c r="I75" s="1953"/>
      <c r="J75" s="1310"/>
      <c r="K75" s="1310"/>
      <c r="L75" s="1310"/>
      <c r="M75" s="1310"/>
      <c r="N75" s="5698"/>
      <c r="O75" s="5698"/>
      <c r="P75" s="5698"/>
      <c r="Q75" s="5698"/>
      <c r="R75" s="5698"/>
      <c r="S75" s="5698"/>
      <c r="T75" s="1642"/>
    </row>
    <row r="76" spans="1:20" ht="16.5" customHeight="1">
      <c r="A76" s="1627"/>
      <c r="B76" s="5701" t="s">
        <v>1857</v>
      </c>
      <c r="C76" s="5701"/>
      <c r="D76" s="5701"/>
      <c r="E76" s="5701"/>
      <c r="F76" s="5701"/>
      <c r="G76" s="5701"/>
      <c r="H76" s="5701"/>
      <c r="I76" s="1642"/>
      <c r="J76" s="1310"/>
      <c r="K76" s="1310"/>
      <c r="L76" s="1310"/>
      <c r="M76" s="1310"/>
      <c r="N76" s="5698"/>
      <c r="O76" s="5698"/>
      <c r="P76" s="5698"/>
      <c r="Q76" s="5698"/>
      <c r="R76" s="5698"/>
      <c r="S76" s="5698"/>
      <c r="T76" s="1642"/>
    </row>
    <row r="77" spans="1:20" ht="16.5" customHeight="1">
      <c r="A77" s="1627"/>
      <c r="B77" s="1978"/>
      <c r="C77" s="1978"/>
      <c r="D77" s="1978"/>
      <c r="E77" s="1978"/>
      <c r="F77" s="1978"/>
      <c r="G77" s="5701" t="s">
        <v>1772</v>
      </c>
      <c r="H77" s="5701"/>
      <c r="I77" s="1642"/>
      <c r="J77" s="1953"/>
      <c r="K77" s="1310"/>
      <c r="L77" s="1991"/>
      <c r="M77" s="1310"/>
      <c r="N77" s="5698"/>
      <c r="O77" s="5698"/>
      <c r="P77" s="5698"/>
      <c r="Q77" s="5698"/>
      <c r="R77" s="5698"/>
      <c r="S77" s="5698"/>
      <c r="T77" s="1642"/>
    </row>
    <row r="78" spans="1:20" ht="16.5" customHeight="1">
      <c r="A78" s="5702" t="s">
        <v>911</v>
      </c>
      <c r="B78" s="5702"/>
      <c r="C78" s="5702"/>
      <c r="D78" s="5702"/>
      <c r="E78" s="5702"/>
      <c r="F78" s="1618"/>
      <c r="G78" s="1642"/>
      <c r="H78" s="1618"/>
      <c r="I78" s="1618"/>
      <c r="J78" s="1618"/>
      <c r="K78" s="1618"/>
      <c r="L78" s="1991"/>
      <c r="M78" s="1310"/>
      <c r="N78" s="5698"/>
      <c r="O78" s="5698"/>
      <c r="P78" s="5698"/>
      <c r="Q78" s="5698"/>
      <c r="R78" s="5698"/>
      <c r="S78" s="5698"/>
      <c r="T78" s="1642"/>
    </row>
    <row r="79" spans="1:20" ht="16.5" customHeight="1">
      <c r="A79" s="1117"/>
      <c r="B79" s="5693" t="s">
        <v>1766</v>
      </c>
      <c r="C79" s="5693"/>
      <c r="D79" s="5693"/>
      <c r="E79" s="5693"/>
      <c r="F79" s="5693"/>
      <c r="G79" s="5693"/>
      <c r="H79" s="5693"/>
      <c r="I79" s="5694" t="s">
        <v>913</v>
      </c>
      <c r="J79" s="5694"/>
      <c r="K79" s="1120">
        <v>0.24890000000000001</v>
      </c>
      <c r="L79" s="1121" t="s">
        <v>905</v>
      </c>
      <c r="M79" s="1310"/>
      <c r="N79" s="5698"/>
      <c r="O79" s="5698"/>
      <c r="P79" s="5698"/>
      <c r="Q79" s="5698"/>
      <c r="R79" s="5698"/>
      <c r="S79" s="5698"/>
      <c r="T79" s="1642"/>
    </row>
    <row r="80" spans="1:20" ht="16.5" customHeight="1">
      <c r="A80" s="1978"/>
      <c r="B80" s="5693" t="s">
        <v>1770</v>
      </c>
      <c r="C80" s="5693"/>
      <c r="D80" s="5693"/>
      <c r="E80" s="5693"/>
      <c r="F80" s="5693"/>
      <c r="G80" s="5693"/>
      <c r="H80" s="5693"/>
      <c r="I80" s="1618"/>
      <c r="J80" s="1990" t="s">
        <v>906</v>
      </c>
      <c r="K80" s="1122">
        <f>44.8/180</f>
        <v>0.24888888888888888</v>
      </c>
      <c r="L80" s="1991"/>
      <c r="M80" s="1310"/>
      <c r="N80" s="5698"/>
      <c r="O80" s="5698"/>
      <c r="P80" s="5698"/>
      <c r="Q80" s="5698"/>
      <c r="R80" s="5698"/>
      <c r="S80" s="5698"/>
      <c r="T80" s="1642"/>
    </row>
    <row r="81" spans="1:20" ht="16.5" customHeight="1">
      <c r="A81" s="1642"/>
      <c r="B81" s="5693" t="s">
        <v>1858</v>
      </c>
      <c r="C81" s="5693"/>
      <c r="D81" s="5693"/>
      <c r="E81" s="5693"/>
      <c r="F81" s="5693"/>
      <c r="G81" s="5693"/>
      <c r="H81" s="5693"/>
      <c r="I81" s="5695"/>
      <c r="J81" s="5695"/>
      <c r="K81" s="1310"/>
      <c r="L81" s="1310"/>
      <c r="M81" s="1310"/>
      <c r="N81" s="5698"/>
      <c r="O81" s="5698"/>
      <c r="P81" s="5698"/>
      <c r="Q81" s="5698"/>
      <c r="R81" s="5698"/>
      <c r="S81" s="5698"/>
      <c r="T81" s="1642"/>
    </row>
    <row r="82" spans="1:20" ht="16.5" customHeight="1">
      <c r="A82" s="1642"/>
      <c r="B82" s="1642"/>
      <c r="C82" s="1642"/>
      <c r="D82" s="1642"/>
      <c r="E82" s="1642"/>
      <c r="F82" s="1642"/>
      <c r="G82" s="1642"/>
      <c r="H82" s="1642"/>
      <c r="I82" s="1642"/>
      <c r="J82" s="1642"/>
      <c r="K82" s="1642"/>
      <c r="L82" s="1642"/>
      <c r="M82" s="1310"/>
      <c r="N82" s="5698"/>
      <c r="O82" s="5698"/>
      <c r="P82" s="5698"/>
      <c r="Q82" s="5698"/>
      <c r="R82" s="5698"/>
      <c r="S82" s="5698"/>
      <c r="T82" s="1642"/>
    </row>
    <row r="83" spans="1:20" ht="16.5" customHeight="1">
      <c r="A83" s="1642"/>
      <c r="B83" s="1642"/>
      <c r="C83" s="1642"/>
      <c r="D83" s="1642"/>
      <c r="E83" s="1642"/>
      <c r="F83" s="1642"/>
      <c r="G83" s="1642"/>
      <c r="H83" s="1642"/>
      <c r="I83" s="1642"/>
      <c r="J83" s="1642"/>
      <c r="K83" s="1642"/>
      <c r="L83" s="1642"/>
      <c r="M83" s="1310"/>
      <c r="N83" s="5698"/>
      <c r="O83" s="5698"/>
      <c r="P83" s="5698"/>
      <c r="Q83" s="5698"/>
      <c r="R83" s="5698"/>
      <c r="S83" s="5698"/>
      <c r="T83" s="1642"/>
    </row>
    <row r="84" spans="1:20" ht="16.5" customHeight="1">
      <c r="A84" s="1642"/>
      <c r="B84" s="1642"/>
      <c r="C84" s="1642"/>
      <c r="D84" s="1642"/>
      <c r="E84" s="1642"/>
      <c r="F84" s="1642"/>
      <c r="G84" s="1642"/>
      <c r="H84" s="1642"/>
      <c r="I84" s="1642"/>
      <c r="J84" s="1642"/>
      <c r="K84" s="1310"/>
      <c r="L84" s="1310"/>
      <c r="M84" s="1310"/>
      <c r="N84" s="5698"/>
      <c r="O84" s="5698"/>
      <c r="P84" s="5698"/>
      <c r="Q84" s="5698"/>
      <c r="R84" s="5698"/>
      <c r="S84" s="5698"/>
      <c r="T84" s="1642"/>
    </row>
    <row r="85" spans="1:20" ht="16.5" customHeight="1">
      <c r="A85" s="1642"/>
      <c r="B85" s="1642"/>
      <c r="C85" s="1642"/>
      <c r="D85" s="1642"/>
      <c r="E85" s="1642"/>
      <c r="F85" s="1642"/>
      <c r="G85" s="1642"/>
      <c r="H85" s="1642"/>
      <c r="I85" s="1642"/>
      <c r="J85" s="1642"/>
      <c r="K85" s="1310"/>
      <c r="L85" s="1310"/>
      <c r="M85" s="1310"/>
      <c r="N85" s="5698"/>
      <c r="O85" s="5698"/>
      <c r="P85" s="5698"/>
      <c r="Q85" s="5698"/>
      <c r="R85" s="5698"/>
      <c r="S85" s="5698"/>
      <c r="T85" s="1642"/>
    </row>
    <row r="86" spans="1:20" ht="16.5" customHeight="1">
      <c r="A86" s="1642"/>
      <c r="B86" s="1642"/>
      <c r="C86" s="1642"/>
      <c r="D86" s="1642"/>
      <c r="E86" s="1642"/>
      <c r="F86" s="1642"/>
      <c r="G86" s="1642"/>
      <c r="H86" s="1642"/>
      <c r="I86" s="1642"/>
      <c r="J86" s="1642"/>
      <c r="K86" s="1310"/>
      <c r="L86" s="1310"/>
      <c r="M86" s="1310"/>
      <c r="N86" s="3590"/>
      <c r="O86" s="3590"/>
      <c r="P86" s="3590"/>
      <c r="Q86" s="3590"/>
      <c r="R86" s="3590"/>
      <c r="S86" s="3590"/>
      <c r="T86" s="1642"/>
    </row>
    <row r="87" spans="1:20" ht="16.5" customHeight="1">
      <c r="A87" s="5703" t="s">
        <v>923</v>
      </c>
      <c r="B87" s="5703"/>
      <c r="C87" s="5703"/>
      <c r="D87" s="5703"/>
      <c r="E87" s="5703"/>
      <c r="F87" s="5703"/>
      <c r="G87" s="5703"/>
      <c r="H87" s="5703"/>
      <c r="I87" s="2502"/>
      <c r="J87" s="2502"/>
      <c r="K87" s="2502"/>
      <c r="L87" s="2502"/>
      <c r="M87" s="2502"/>
      <c r="N87" s="2502"/>
      <c r="O87" s="2502"/>
      <c r="P87" s="5685" t="s">
        <v>924</v>
      </c>
      <c r="Q87" s="5685"/>
      <c r="R87" s="5686" t="s">
        <v>1</v>
      </c>
      <c r="S87" s="5686"/>
      <c r="T87" s="1642"/>
    </row>
    <row r="88" spans="1:20" ht="15.75" customHeight="1">
      <c r="A88" s="1642"/>
      <c r="B88" s="1642"/>
      <c r="C88" s="1642"/>
      <c r="D88" s="1642"/>
      <c r="E88" s="1642"/>
      <c r="F88" s="1642"/>
      <c r="G88" s="1642"/>
      <c r="H88" s="1642"/>
      <c r="I88" s="2502"/>
      <c r="J88" s="2502"/>
      <c r="K88" s="2502"/>
      <c r="L88" s="2502"/>
      <c r="M88" s="2502"/>
      <c r="N88" s="2502"/>
      <c r="O88" s="1310"/>
      <c r="P88" s="1642"/>
      <c r="Q88" s="1642"/>
      <c r="R88" s="1642"/>
      <c r="S88" s="1642"/>
      <c r="T88" s="1642"/>
    </row>
    <row r="89" spans="1:20" ht="15.75" hidden="1" customHeight="1">
      <c r="A89" s="5687" t="s">
        <v>64</v>
      </c>
      <c r="B89" s="5688" t="s">
        <v>198</v>
      </c>
      <c r="C89" s="5689"/>
      <c r="D89" s="2013" t="s">
        <v>925</v>
      </c>
      <c r="E89" s="1993"/>
      <c r="F89" s="1993"/>
      <c r="G89" s="1993"/>
      <c r="H89" s="1993"/>
      <c r="I89" s="1994"/>
      <c r="J89" s="1994"/>
      <c r="K89" s="1994"/>
      <c r="L89" s="1994"/>
      <c r="M89" s="1992"/>
      <c r="N89" s="1992"/>
      <c r="O89" s="1994"/>
      <c r="P89" s="1642"/>
      <c r="Q89" s="1642"/>
      <c r="R89" s="1642"/>
      <c r="S89" s="1642"/>
      <c r="T89" s="1642"/>
    </row>
    <row r="90" spans="1:20" ht="15.75" hidden="1" customHeight="1">
      <c r="A90" s="5687"/>
      <c r="B90" s="2014" t="s">
        <v>205</v>
      </c>
      <c r="C90" s="2014" t="s">
        <v>844</v>
      </c>
      <c r="D90" s="2015" t="s">
        <v>206</v>
      </c>
      <c r="E90" s="1993"/>
      <c r="F90" s="1993"/>
      <c r="G90" s="1993"/>
      <c r="H90" s="1993"/>
      <c r="I90" s="1994"/>
      <c r="J90" s="1994"/>
      <c r="K90" s="1994"/>
      <c r="L90" s="1994"/>
      <c r="M90" s="1992"/>
      <c r="N90" s="1992"/>
      <c r="O90" s="1994"/>
      <c r="P90" s="1642"/>
      <c r="Q90" s="1642"/>
      <c r="R90" s="1642"/>
      <c r="S90" s="1642"/>
      <c r="T90" s="1642"/>
    </row>
    <row r="91" spans="1:20" ht="15.75" hidden="1" customHeight="1">
      <c r="A91" s="5687"/>
      <c r="B91" s="2002">
        <v>0</v>
      </c>
      <c r="C91" s="2016">
        <f t="shared" ref="C91:C104" si="5">((B91+40)*9/5)-40</f>
        <v>32</v>
      </c>
      <c r="D91" s="2005">
        <v>1.7130000000000001</v>
      </c>
      <c r="E91" s="1993"/>
      <c r="F91" s="1993"/>
      <c r="G91" s="1993"/>
      <c r="H91" s="1993"/>
      <c r="I91" s="1994"/>
      <c r="J91" s="1994"/>
      <c r="K91" s="1994"/>
      <c r="L91" s="1994"/>
      <c r="M91" s="1992"/>
      <c r="N91" s="1992"/>
      <c r="O91" s="1994"/>
      <c r="P91" s="1642"/>
      <c r="Q91" s="1642"/>
      <c r="R91" s="1642"/>
      <c r="S91" s="1642"/>
      <c r="T91" s="1642"/>
    </row>
    <row r="92" spans="1:20" ht="15.75" hidden="1" customHeight="1">
      <c r="A92" s="5687"/>
      <c r="B92" s="2002">
        <v>1</v>
      </c>
      <c r="C92" s="2016">
        <f t="shared" si="5"/>
        <v>33.799999999999997</v>
      </c>
      <c r="D92" s="2005">
        <v>1.6459999999999999</v>
      </c>
      <c r="E92" s="1993"/>
      <c r="F92" s="1993"/>
      <c r="G92" s="1993"/>
      <c r="H92" s="1993"/>
      <c r="I92" s="1994"/>
      <c r="J92" s="1994"/>
      <c r="K92" s="1994"/>
      <c r="L92" s="1994"/>
      <c r="M92" s="1992"/>
      <c r="N92" s="1992"/>
      <c r="O92" s="1994"/>
      <c r="P92" s="1642"/>
      <c r="Q92" s="1642"/>
      <c r="R92" s="1642"/>
      <c r="S92" s="1642"/>
      <c r="T92" s="1642"/>
    </row>
    <row r="93" spans="1:20" ht="15.75" hidden="1" customHeight="1">
      <c r="A93" s="5687"/>
      <c r="B93" s="2002">
        <v>2</v>
      </c>
      <c r="C93" s="2016">
        <f t="shared" si="5"/>
        <v>35.599999999999994</v>
      </c>
      <c r="D93" s="2006">
        <v>1.5840000000000001</v>
      </c>
      <c r="E93" s="1993"/>
      <c r="F93" s="1993"/>
      <c r="G93" s="1993"/>
      <c r="H93" s="1993"/>
      <c r="I93" s="1620"/>
      <c r="J93" s="1995"/>
      <c r="K93" s="1994"/>
      <c r="L93" s="1994"/>
      <c r="M93" s="1992"/>
      <c r="N93" s="1992"/>
      <c r="O93" s="1994"/>
      <c r="P93" s="1642"/>
      <c r="Q93" s="1642"/>
      <c r="R93" s="1642"/>
      <c r="S93" s="1642"/>
      <c r="T93" s="1642"/>
    </row>
    <row r="94" spans="1:20" ht="15.75" hidden="1" customHeight="1">
      <c r="A94" s="5687"/>
      <c r="B94" s="2002">
        <v>3</v>
      </c>
      <c r="C94" s="2016">
        <f t="shared" si="5"/>
        <v>37.400000000000006</v>
      </c>
      <c r="D94" s="2006">
        <v>1.53</v>
      </c>
      <c r="E94" s="1993"/>
      <c r="F94" s="1993"/>
      <c r="G94" s="1993"/>
      <c r="H94" s="1993"/>
      <c r="I94" s="1620"/>
      <c r="J94" s="1995"/>
      <c r="K94" s="1994"/>
      <c r="L94" s="1994"/>
      <c r="M94" s="1992"/>
      <c r="N94" s="1992"/>
      <c r="O94" s="1994"/>
      <c r="P94" s="1642"/>
      <c r="Q94" s="1642"/>
      <c r="R94" s="1642"/>
      <c r="S94" s="1642"/>
      <c r="T94" s="1642"/>
    </row>
    <row r="95" spans="1:20" ht="15.75" hidden="1" customHeight="1">
      <c r="A95" s="5687"/>
      <c r="B95" s="2002">
        <v>4</v>
      </c>
      <c r="C95" s="2016">
        <f t="shared" si="5"/>
        <v>39.200000000000003</v>
      </c>
      <c r="D95" s="2006">
        <v>1.4730000000000001</v>
      </c>
      <c r="E95" s="1993"/>
      <c r="F95" s="1993"/>
      <c r="G95" s="1993"/>
      <c r="H95" s="1993"/>
      <c r="I95" s="1620"/>
      <c r="J95" s="1995"/>
      <c r="K95" s="1994"/>
      <c r="L95" s="1994"/>
      <c r="M95" s="1992"/>
      <c r="N95" s="1992"/>
      <c r="O95" s="1994"/>
      <c r="P95" s="1642"/>
      <c r="Q95" s="1642"/>
      <c r="R95" s="1642"/>
      <c r="S95" s="1642"/>
      <c r="T95" s="1642"/>
    </row>
    <row r="96" spans="1:20" ht="15.75" hidden="1" customHeight="1">
      <c r="A96" s="5687"/>
      <c r="B96" s="2002">
        <v>5</v>
      </c>
      <c r="C96" s="2016">
        <f t="shared" si="5"/>
        <v>41</v>
      </c>
      <c r="D96" s="2006">
        <v>1.4239999999999999</v>
      </c>
      <c r="E96" s="1993"/>
      <c r="F96" s="1993"/>
      <c r="G96" s="1993"/>
      <c r="H96" s="1993"/>
      <c r="I96" s="1620"/>
      <c r="J96" s="1995"/>
      <c r="K96" s="1994"/>
      <c r="L96" s="1994"/>
      <c r="M96" s="1992"/>
      <c r="N96" s="1992"/>
      <c r="O96" s="1994"/>
      <c r="P96" s="1642"/>
      <c r="Q96" s="1642"/>
      <c r="R96" s="1642"/>
      <c r="S96" s="1642"/>
      <c r="T96" s="1642"/>
    </row>
    <row r="97" spans="1:20" ht="15.75" hidden="1" customHeight="1">
      <c r="A97" s="5687"/>
      <c r="B97" s="2002">
        <v>6</v>
      </c>
      <c r="C97" s="2016">
        <f t="shared" si="5"/>
        <v>42.8</v>
      </c>
      <c r="D97" s="2006">
        <v>1.377</v>
      </c>
      <c r="E97" s="1993"/>
      <c r="F97" s="1993"/>
      <c r="G97" s="1993"/>
      <c r="H97" s="1993"/>
      <c r="I97" s="1620"/>
      <c r="J97" s="1995"/>
      <c r="K97" s="1994"/>
      <c r="L97" s="1994"/>
      <c r="M97" s="1992"/>
      <c r="N97" s="1992"/>
      <c r="O97" s="1994"/>
      <c r="P97" s="1642"/>
      <c r="Q97" s="1642"/>
      <c r="R97" s="1642"/>
      <c r="S97" s="1642"/>
      <c r="T97" s="1642"/>
    </row>
    <row r="98" spans="1:20" ht="15.75" hidden="1" customHeight="1">
      <c r="A98" s="5687"/>
      <c r="B98" s="2002">
        <v>7</v>
      </c>
      <c r="C98" s="2016">
        <f t="shared" si="5"/>
        <v>44.599999999999994</v>
      </c>
      <c r="D98" s="2006">
        <v>1.331</v>
      </c>
      <c r="E98" s="1993"/>
      <c r="F98" s="1993"/>
      <c r="G98" s="1993"/>
      <c r="H98" s="1993"/>
      <c r="I98" s="1620"/>
      <c r="J98" s="1995"/>
      <c r="K98" s="1994"/>
      <c r="L98" s="1994"/>
      <c r="M98" s="1992"/>
      <c r="N98" s="1992"/>
      <c r="O98" s="1994"/>
      <c r="P98" s="1642"/>
      <c r="Q98" s="1642"/>
      <c r="R98" s="1642"/>
      <c r="S98" s="1642"/>
      <c r="T98" s="1642"/>
    </row>
    <row r="99" spans="1:20" ht="15.75" hidden="1" customHeight="1">
      <c r="A99" s="5687"/>
      <c r="B99" s="2002">
        <v>8</v>
      </c>
      <c r="C99" s="2016">
        <f t="shared" si="5"/>
        <v>46.400000000000006</v>
      </c>
      <c r="D99" s="2006">
        <v>1.282</v>
      </c>
      <c r="E99" s="1993"/>
      <c r="F99" s="1993"/>
      <c r="G99" s="1993"/>
      <c r="H99" s="1993"/>
      <c r="I99" s="1620"/>
      <c r="J99" s="1995"/>
      <c r="K99" s="1994"/>
      <c r="L99" s="1994"/>
      <c r="M99" s="1992"/>
      <c r="N99" s="1992"/>
      <c r="O99" s="1994"/>
      <c r="P99" s="1642"/>
      <c r="Q99" s="1642"/>
      <c r="R99" s="1642"/>
      <c r="S99" s="1642"/>
      <c r="T99" s="1642"/>
    </row>
    <row r="100" spans="1:20" ht="15.75" hidden="1" customHeight="1">
      <c r="A100" s="5687"/>
      <c r="B100" s="2002">
        <v>9</v>
      </c>
      <c r="C100" s="2016">
        <f t="shared" si="5"/>
        <v>48.2</v>
      </c>
      <c r="D100" s="2006">
        <v>1.2370000000000001</v>
      </c>
      <c r="E100" s="1993"/>
      <c r="F100" s="1993"/>
      <c r="G100" s="1993"/>
      <c r="H100" s="1993"/>
      <c r="I100" s="1620"/>
      <c r="J100" s="1995"/>
      <c r="K100" s="1994"/>
      <c r="L100" s="1994"/>
      <c r="M100" s="1992"/>
      <c r="N100" s="1992"/>
      <c r="O100" s="1994"/>
      <c r="P100" s="1642"/>
      <c r="Q100" s="1642"/>
      <c r="R100" s="1642"/>
      <c r="S100" s="1642"/>
      <c r="T100" s="1642"/>
    </row>
    <row r="101" spans="1:20" ht="15.75" hidden="1" customHeight="1">
      <c r="A101" s="5687"/>
      <c r="B101" s="2002">
        <v>10</v>
      </c>
      <c r="C101" s="2016">
        <f t="shared" si="5"/>
        <v>50</v>
      </c>
      <c r="D101" s="2006">
        <v>1.194</v>
      </c>
      <c r="E101" s="1993"/>
      <c r="F101" s="1993"/>
      <c r="G101" s="1993"/>
      <c r="H101" s="1993"/>
      <c r="I101" s="1620"/>
      <c r="J101" s="1995"/>
      <c r="K101" s="1994"/>
      <c r="L101" s="1994"/>
      <c r="M101" s="1992"/>
      <c r="N101" s="1992"/>
      <c r="O101" s="1994"/>
      <c r="P101" s="1642"/>
      <c r="Q101" s="1642"/>
      <c r="R101" s="1642"/>
      <c r="S101" s="1642"/>
      <c r="T101" s="1642"/>
    </row>
    <row r="102" spans="1:20" ht="15.75" hidden="1" customHeight="1">
      <c r="A102" s="5687"/>
      <c r="B102" s="2002">
        <v>11</v>
      </c>
      <c r="C102" s="2016">
        <f t="shared" si="5"/>
        <v>51.8</v>
      </c>
      <c r="D102" s="2006">
        <v>1.1539999999999999</v>
      </c>
      <c r="E102" s="1993"/>
      <c r="F102" s="1993"/>
      <c r="G102" s="1993"/>
      <c r="H102" s="1993"/>
      <c r="I102" s="1620"/>
      <c r="J102" s="1995"/>
      <c r="K102" s="1994"/>
      <c r="L102" s="1994"/>
      <c r="M102" s="1992"/>
      <c r="N102" s="1992"/>
      <c r="O102" s="1994"/>
      <c r="P102" s="1642"/>
      <c r="Q102" s="1642"/>
      <c r="R102" s="1642"/>
      <c r="S102" s="1642"/>
      <c r="T102" s="1642"/>
    </row>
    <row r="103" spans="1:20" ht="15.75" hidden="1" customHeight="1">
      <c r="A103" s="5687"/>
      <c r="B103" s="2002">
        <v>12</v>
      </c>
      <c r="C103" s="2016">
        <f t="shared" si="5"/>
        <v>53.599999999999994</v>
      </c>
      <c r="D103" s="2006">
        <v>1.117</v>
      </c>
      <c r="E103" s="1993"/>
      <c r="F103" s="1993"/>
      <c r="G103" s="1993"/>
      <c r="H103" s="1993"/>
      <c r="I103" s="1620"/>
      <c r="J103" s="1995"/>
      <c r="K103" s="1994"/>
      <c r="L103" s="1994"/>
      <c r="M103" s="1992"/>
      <c r="N103" s="1992"/>
      <c r="O103" s="1994"/>
      <c r="P103" s="1642"/>
      <c r="Q103" s="1642"/>
      <c r="R103" s="1642"/>
      <c r="S103" s="1642"/>
      <c r="T103" s="1642"/>
    </row>
    <row r="104" spans="1:20" ht="15.75" hidden="1" customHeight="1">
      <c r="A104" s="5687"/>
      <c r="B104" s="2002">
        <v>13</v>
      </c>
      <c r="C104" s="2016">
        <f t="shared" si="5"/>
        <v>55.400000000000006</v>
      </c>
      <c r="D104" s="2006">
        <v>1.083</v>
      </c>
      <c r="E104" s="1993"/>
      <c r="F104" s="1993"/>
      <c r="G104" s="1993"/>
      <c r="H104" s="1993"/>
      <c r="I104" s="1620"/>
      <c r="J104" s="1995"/>
      <c r="K104" s="1994"/>
      <c r="L104" s="1994"/>
      <c r="M104" s="1992"/>
      <c r="N104" s="1992"/>
      <c r="O104" s="1994"/>
      <c r="P104" s="1642"/>
      <c r="Q104" s="1642"/>
      <c r="R104" s="1642"/>
      <c r="S104" s="1642"/>
      <c r="T104" s="1642"/>
    </row>
    <row r="105" spans="1:20" ht="15.75" hidden="1" customHeight="1">
      <c r="A105" s="5687"/>
      <c r="B105" s="2002">
        <f>(B104+B106)/2</f>
        <v>13.5</v>
      </c>
      <c r="C105" s="2002">
        <f>(C104+C106)/2</f>
        <v>56.300000000000004</v>
      </c>
      <c r="D105" s="2002">
        <f>(D104+D106)/2</f>
        <v>1.0665</v>
      </c>
      <c r="E105" s="1993"/>
      <c r="F105" s="1993"/>
      <c r="G105" s="1993"/>
      <c r="H105" s="1993"/>
      <c r="I105" s="1620"/>
      <c r="J105" s="1995"/>
      <c r="K105" s="1994"/>
      <c r="L105" s="1994"/>
      <c r="M105" s="1992"/>
      <c r="N105" s="1992"/>
      <c r="O105" s="1994"/>
      <c r="P105" s="1642"/>
      <c r="Q105" s="1642"/>
      <c r="R105" s="1642"/>
      <c r="S105" s="1642"/>
      <c r="T105" s="1642"/>
    </row>
    <row r="106" spans="1:20" ht="15.75" hidden="1" customHeight="1">
      <c r="A106" s="5687"/>
      <c r="B106" s="2002">
        <v>14</v>
      </c>
      <c r="C106" s="2016">
        <f>((B106+40)*9/5)-40</f>
        <v>57.2</v>
      </c>
      <c r="D106" s="2006">
        <v>1.05</v>
      </c>
      <c r="E106" s="1993"/>
      <c r="F106" s="1993"/>
      <c r="G106" s="1993"/>
      <c r="H106" s="1993"/>
      <c r="I106" s="1620"/>
      <c r="J106" s="1995"/>
      <c r="K106" s="1994"/>
      <c r="L106" s="1994"/>
      <c r="M106" s="1992"/>
      <c r="N106" s="1992"/>
      <c r="O106" s="1994"/>
      <c r="P106" s="1642"/>
      <c r="Q106" s="1642"/>
      <c r="R106" s="1642"/>
      <c r="S106" s="1642"/>
      <c r="T106" s="1642"/>
    </row>
    <row r="107" spans="1:20" ht="15.75" hidden="1" customHeight="1">
      <c r="A107" s="5687"/>
      <c r="B107" s="2002">
        <f>(B106+B108)/2</f>
        <v>14.5</v>
      </c>
      <c r="C107" s="2002">
        <f>(C106+C108)/2</f>
        <v>58.1</v>
      </c>
      <c r="D107" s="2002">
        <f>(D106+D108)/2</f>
        <v>1.034</v>
      </c>
      <c r="E107" s="1993"/>
      <c r="F107" s="1993"/>
      <c r="G107" s="1993"/>
      <c r="H107" s="1993"/>
      <c r="I107" s="1620"/>
      <c r="J107" s="1995"/>
      <c r="K107" s="1994"/>
      <c r="L107" s="1994"/>
      <c r="M107" s="1992"/>
      <c r="N107" s="1992"/>
      <c r="O107" s="1994"/>
      <c r="P107" s="1642"/>
      <c r="Q107" s="1642"/>
      <c r="R107" s="1642"/>
      <c r="S107" s="1642"/>
      <c r="T107" s="1642"/>
    </row>
    <row r="108" spans="1:20" ht="15.75" hidden="1" customHeight="1">
      <c r="A108" s="5687"/>
      <c r="B108" s="2002">
        <v>15</v>
      </c>
      <c r="C108" s="2016">
        <f>((B108+40)*9/5)-40</f>
        <v>59</v>
      </c>
      <c r="D108" s="2006">
        <v>1.018</v>
      </c>
      <c r="E108" s="1993"/>
      <c r="F108" s="1993"/>
      <c r="G108" s="1993"/>
      <c r="H108" s="1993"/>
      <c r="I108" s="1620"/>
      <c r="J108" s="1995"/>
      <c r="K108" s="1994"/>
      <c r="L108" s="1994"/>
      <c r="M108" s="1992"/>
      <c r="N108" s="1992"/>
      <c r="O108" s="1994"/>
      <c r="P108" s="1642"/>
      <c r="Q108" s="1642"/>
      <c r="R108" s="1642"/>
      <c r="S108" s="1642"/>
      <c r="T108" s="1642"/>
    </row>
    <row r="109" spans="1:20" ht="15.75" hidden="1" customHeight="1">
      <c r="A109" s="5687"/>
      <c r="B109" s="2002">
        <f>(B108+B110)/2</f>
        <v>15.5</v>
      </c>
      <c r="C109" s="2002">
        <f>(C108+C110)/2</f>
        <v>59.9</v>
      </c>
      <c r="D109" s="2002">
        <f>(D108+D110)/2</f>
        <v>1.0015000000000001</v>
      </c>
      <c r="E109" s="1993"/>
      <c r="F109" s="1993"/>
      <c r="G109" s="1993"/>
      <c r="H109" s="1993"/>
      <c r="I109" s="1620"/>
      <c r="J109" s="1995"/>
      <c r="K109" s="1994"/>
      <c r="L109" s="1994"/>
      <c r="M109" s="1992"/>
      <c r="N109" s="1992"/>
      <c r="O109" s="1994"/>
      <c r="P109" s="1642"/>
      <c r="Q109" s="1642"/>
      <c r="R109" s="1642"/>
      <c r="S109" s="1642"/>
      <c r="T109" s="1642"/>
    </row>
    <row r="110" spans="1:20" ht="15.75" hidden="1" customHeight="1">
      <c r="A110" s="5687"/>
      <c r="B110" s="2002">
        <v>16</v>
      </c>
      <c r="C110" s="2016">
        <f>((B110+40)*9/5)-40</f>
        <v>60.8</v>
      </c>
      <c r="D110" s="2006">
        <v>0.98499999999999999</v>
      </c>
      <c r="E110" s="1993"/>
      <c r="F110" s="1993"/>
      <c r="G110" s="1993"/>
      <c r="H110" s="1993"/>
      <c r="I110" s="1620"/>
      <c r="J110" s="1995"/>
      <c r="K110" s="1994"/>
      <c r="L110" s="1994"/>
      <c r="M110" s="1992"/>
      <c r="N110" s="1992"/>
      <c r="O110" s="1994"/>
      <c r="P110" s="1642"/>
      <c r="Q110" s="1642"/>
      <c r="R110" s="1642"/>
      <c r="S110" s="1642"/>
      <c r="T110" s="1642"/>
    </row>
    <row r="111" spans="1:20" ht="15.75" hidden="1" customHeight="1">
      <c r="A111" s="5687"/>
      <c r="B111" s="2002">
        <f>(B110+B112)/2</f>
        <v>16.5</v>
      </c>
      <c r="C111" s="2002">
        <f>(C110+C112)/2</f>
        <v>61.699999999999996</v>
      </c>
      <c r="D111" s="2002">
        <f>(D110+D112)/2</f>
        <v>0.97049999999999992</v>
      </c>
      <c r="E111" s="1993"/>
      <c r="F111" s="1993"/>
      <c r="G111" s="1993"/>
      <c r="H111" s="1993"/>
      <c r="I111" s="1620"/>
      <c r="J111" s="1995"/>
      <c r="K111" s="1994"/>
      <c r="L111" s="1994"/>
      <c r="M111" s="1992"/>
      <c r="N111" s="1992"/>
      <c r="O111" s="1994"/>
      <c r="P111" s="1642"/>
      <c r="Q111" s="1642"/>
      <c r="R111" s="1642"/>
      <c r="S111" s="1642"/>
      <c r="T111" s="1642"/>
    </row>
    <row r="112" spans="1:20" ht="15.75" hidden="1" customHeight="1">
      <c r="A112" s="5687"/>
      <c r="B112" s="2002">
        <v>17</v>
      </c>
      <c r="C112" s="2016">
        <f>((B112+40)*9/5)-40</f>
        <v>62.599999999999994</v>
      </c>
      <c r="D112" s="2006">
        <v>0.95599999999999996</v>
      </c>
      <c r="E112" s="1993"/>
      <c r="F112" s="1993"/>
      <c r="G112" s="1993"/>
      <c r="H112" s="1993"/>
      <c r="I112" s="1620"/>
      <c r="J112" s="1995"/>
      <c r="K112" s="1994"/>
      <c r="L112" s="1994"/>
      <c r="M112" s="1992"/>
      <c r="N112" s="1992"/>
      <c r="O112" s="1994"/>
      <c r="P112" s="1642"/>
      <c r="Q112" s="1642"/>
      <c r="R112" s="1642"/>
      <c r="S112" s="1642"/>
      <c r="T112" s="1642"/>
    </row>
    <row r="113" spans="1:20" ht="15.75" hidden="1" customHeight="1">
      <c r="A113" s="5687"/>
      <c r="B113" s="2002">
        <f>(B112+B114)/2</f>
        <v>17.5</v>
      </c>
      <c r="C113" s="2002">
        <f>(C112+C114)/2</f>
        <v>63.5</v>
      </c>
      <c r="D113" s="2002">
        <f>(D112+D114)/2</f>
        <v>0.94199999999999995</v>
      </c>
      <c r="E113" s="1993"/>
      <c r="F113" s="1993"/>
      <c r="G113" s="1993"/>
      <c r="H113" s="1993"/>
      <c r="I113" s="1620"/>
      <c r="J113" s="1995"/>
      <c r="K113" s="1994"/>
      <c r="L113" s="1994"/>
      <c r="M113" s="1992"/>
      <c r="N113" s="1992"/>
      <c r="O113" s="1994"/>
      <c r="P113" s="1642"/>
      <c r="Q113" s="1642"/>
      <c r="R113" s="1642"/>
      <c r="S113" s="1642"/>
      <c r="T113" s="1642"/>
    </row>
    <row r="114" spans="1:20" ht="15.75" hidden="1" customHeight="1">
      <c r="A114" s="5687"/>
      <c r="B114" s="2002">
        <v>18</v>
      </c>
      <c r="C114" s="2016">
        <f>((B114+40)*9/5)-40</f>
        <v>64.400000000000006</v>
      </c>
      <c r="D114" s="2006">
        <v>0.92800000000000005</v>
      </c>
      <c r="E114" s="1993"/>
      <c r="F114" s="1993"/>
      <c r="G114" s="1993"/>
      <c r="H114" s="1993"/>
      <c r="I114" s="1620"/>
      <c r="J114" s="1995"/>
      <c r="K114" s="1994"/>
      <c r="L114" s="1994"/>
      <c r="M114" s="1992"/>
      <c r="N114" s="1992"/>
      <c r="O114" s="1994"/>
      <c r="P114" s="1642"/>
      <c r="Q114" s="1642"/>
      <c r="R114" s="1642"/>
      <c r="S114" s="1642"/>
      <c r="T114" s="1642"/>
    </row>
    <row r="115" spans="1:20" ht="15.75" hidden="1" customHeight="1">
      <c r="A115" s="5687"/>
      <c r="B115" s="2002">
        <f>(B114+B116)/2</f>
        <v>18.5</v>
      </c>
      <c r="C115" s="2002">
        <f>(C114+C116)/2</f>
        <v>65.300000000000011</v>
      </c>
      <c r="D115" s="2002">
        <f>(D114+D116)/2</f>
        <v>0.91500000000000004</v>
      </c>
      <c r="E115" s="1993"/>
      <c r="F115" s="1993"/>
      <c r="G115" s="1993"/>
      <c r="H115" s="1993"/>
      <c r="I115" s="1620"/>
      <c r="J115" s="1995"/>
      <c r="K115" s="1994"/>
      <c r="L115" s="1994"/>
      <c r="M115" s="1992"/>
      <c r="N115" s="1992"/>
      <c r="O115" s="1994"/>
      <c r="P115" s="1642"/>
      <c r="Q115" s="1642"/>
      <c r="R115" s="1642"/>
      <c r="S115" s="1642"/>
      <c r="T115" s="1642"/>
    </row>
    <row r="116" spans="1:20" ht="15.75" hidden="1" customHeight="1">
      <c r="A116" s="5687"/>
      <c r="B116" s="2002">
        <v>19</v>
      </c>
      <c r="C116" s="2016">
        <f>((B116+40)*9/5)-40</f>
        <v>66.2</v>
      </c>
      <c r="D116" s="2006">
        <v>0.90200000000000002</v>
      </c>
      <c r="E116" s="1993"/>
      <c r="F116" s="1993"/>
      <c r="G116" s="1993"/>
      <c r="H116" s="1993"/>
      <c r="I116" s="1620"/>
      <c r="J116" s="1995"/>
      <c r="K116" s="1994"/>
      <c r="L116" s="1994"/>
      <c r="M116" s="1992"/>
      <c r="N116" s="1992"/>
      <c r="O116" s="1994"/>
      <c r="P116" s="1642"/>
      <c r="Q116" s="1642"/>
      <c r="R116" s="1642"/>
      <c r="S116" s="1642"/>
      <c r="T116" s="1642"/>
    </row>
    <row r="117" spans="1:20" ht="15.75" hidden="1" customHeight="1">
      <c r="A117" s="5687"/>
      <c r="B117" s="2002">
        <f>(B116+B118)/2</f>
        <v>19.5</v>
      </c>
      <c r="C117" s="2002">
        <f>(C116+C118)/2</f>
        <v>67.099999999999994</v>
      </c>
      <c r="D117" s="2002">
        <f>(D116+D118)/2</f>
        <v>0.88949999999999996</v>
      </c>
      <c r="E117" s="1993"/>
      <c r="F117" s="1993"/>
      <c r="G117" s="1993"/>
      <c r="H117" s="1993"/>
      <c r="I117" s="1620"/>
      <c r="J117" s="1995"/>
      <c r="K117" s="1994"/>
      <c r="L117" s="1994"/>
      <c r="M117" s="1992"/>
      <c r="N117" s="1992"/>
      <c r="O117" s="1994"/>
      <c r="P117" s="1642"/>
      <c r="Q117" s="1642"/>
      <c r="R117" s="1642"/>
      <c r="S117" s="1642"/>
      <c r="T117" s="1642"/>
    </row>
    <row r="118" spans="1:20" ht="15.75" hidden="1" customHeight="1">
      <c r="A118" s="5687"/>
      <c r="B118" s="2002">
        <v>20</v>
      </c>
      <c r="C118" s="2016">
        <f>((B118+40)*9/5)-40</f>
        <v>68</v>
      </c>
      <c r="D118" s="2006">
        <v>0.877</v>
      </c>
      <c r="E118" s="1993"/>
      <c r="F118" s="1993"/>
      <c r="G118" s="1993"/>
      <c r="H118" s="1993"/>
      <c r="I118" s="1620"/>
      <c r="J118" s="1995"/>
      <c r="K118" s="1994"/>
      <c r="L118" s="1994"/>
      <c r="M118" s="1992"/>
      <c r="N118" s="1992"/>
      <c r="O118" s="1994"/>
      <c r="P118" s="1642"/>
      <c r="Q118" s="1642"/>
      <c r="R118" s="1642"/>
      <c r="S118" s="1642"/>
      <c r="T118" s="1642"/>
    </row>
    <row r="119" spans="1:20" ht="15.75" hidden="1" customHeight="1">
      <c r="A119" s="5687"/>
      <c r="B119" s="2002">
        <f>(B118+B120)/2</f>
        <v>20.5</v>
      </c>
      <c r="C119" s="2002">
        <f>(C118+C120)/2</f>
        <v>68.900000000000006</v>
      </c>
      <c r="D119" s="2002">
        <f>(D118+D120)/2</f>
        <v>0.86450000000000005</v>
      </c>
      <c r="E119" s="1993"/>
      <c r="F119" s="1993"/>
      <c r="G119" s="1993"/>
      <c r="H119" s="1993"/>
      <c r="I119" s="1620"/>
      <c r="J119" s="1995"/>
      <c r="K119" s="1994"/>
      <c r="L119" s="1994"/>
      <c r="M119" s="1992"/>
      <c r="N119" s="1992"/>
      <c r="O119" s="1994"/>
      <c r="P119" s="1642"/>
      <c r="Q119" s="1642"/>
      <c r="R119" s="1642"/>
      <c r="S119" s="1642"/>
      <c r="T119" s="1642"/>
    </row>
    <row r="120" spans="1:20" ht="15.75" hidden="1" customHeight="1">
      <c r="A120" s="5687"/>
      <c r="B120" s="2002">
        <v>21</v>
      </c>
      <c r="C120" s="2016">
        <f>((B120+40)*9/5)-40</f>
        <v>69.8</v>
      </c>
      <c r="D120" s="2006">
        <v>0.85199999999999998</v>
      </c>
      <c r="E120" s="1993"/>
      <c r="F120" s="1993"/>
      <c r="G120" s="1993"/>
      <c r="H120" s="1993"/>
      <c r="I120" s="1620"/>
      <c r="J120" s="1995"/>
      <c r="K120" s="1994"/>
      <c r="L120" s="1994"/>
      <c r="M120" s="1992"/>
      <c r="N120" s="1992"/>
      <c r="O120" s="1994"/>
      <c r="P120" s="1642"/>
      <c r="Q120" s="1642"/>
      <c r="R120" s="1642"/>
      <c r="S120" s="1642"/>
      <c r="T120" s="1642"/>
    </row>
    <row r="121" spans="1:20" ht="15.75" hidden="1" customHeight="1">
      <c r="A121" s="5687"/>
      <c r="B121" s="2002">
        <f>(B120+B122)/2</f>
        <v>21.5</v>
      </c>
      <c r="C121" s="2002">
        <f>(C120+C122)/2</f>
        <v>70.699999999999989</v>
      </c>
      <c r="D121" s="2002">
        <f>(D120+D122)/2</f>
        <v>0.83949999999999991</v>
      </c>
      <c r="E121" s="1993"/>
      <c r="F121" s="1993"/>
      <c r="G121" s="1993"/>
      <c r="H121" s="1993"/>
      <c r="I121" s="1620"/>
      <c r="J121" s="1995"/>
      <c r="K121" s="1994"/>
      <c r="L121" s="1994"/>
      <c r="M121" s="1992"/>
      <c r="N121" s="1992"/>
      <c r="O121" s="1994"/>
      <c r="P121" s="1642"/>
      <c r="Q121" s="1642"/>
      <c r="R121" s="1642"/>
      <c r="S121" s="1642"/>
      <c r="T121" s="1642"/>
    </row>
    <row r="122" spans="1:20" ht="15.75" hidden="1" customHeight="1">
      <c r="A122" s="5687"/>
      <c r="B122" s="2002">
        <v>22</v>
      </c>
      <c r="C122" s="2016">
        <f>((B122+40)*9/5)-40</f>
        <v>71.599999999999994</v>
      </c>
      <c r="D122" s="2006">
        <v>0.82699999999999996</v>
      </c>
      <c r="E122" s="1993"/>
      <c r="F122" s="1993"/>
      <c r="G122" s="1993"/>
      <c r="H122" s="1993"/>
      <c r="I122" s="1620"/>
      <c r="J122" s="1995"/>
      <c r="K122" s="1994"/>
      <c r="L122" s="1994"/>
      <c r="M122" s="1992"/>
      <c r="N122" s="1992"/>
      <c r="O122" s="1994"/>
      <c r="P122" s="1642"/>
      <c r="Q122" s="1642"/>
      <c r="R122" s="1642"/>
      <c r="S122" s="1642"/>
      <c r="T122" s="1642"/>
    </row>
    <row r="123" spans="1:20" ht="15.75" hidden="1" customHeight="1">
      <c r="A123" s="5687"/>
      <c r="B123" s="2002">
        <f>(B122+B124)/2</f>
        <v>22.5</v>
      </c>
      <c r="C123" s="2002">
        <f>(C122+C124)/2</f>
        <v>72.5</v>
      </c>
      <c r="D123" s="2002">
        <f>(D122+D124)/2</f>
        <v>0.8145</v>
      </c>
      <c r="E123" s="1993"/>
      <c r="F123" s="1993"/>
      <c r="G123" s="1993"/>
      <c r="H123" s="1993"/>
      <c r="I123" s="1620"/>
      <c r="J123" s="1995"/>
      <c r="K123" s="1994"/>
      <c r="L123" s="1994"/>
      <c r="M123" s="1992"/>
      <c r="N123" s="1992"/>
      <c r="O123" s="1994"/>
      <c r="P123" s="1642"/>
      <c r="Q123" s="1642"/>
      <c r="R123" s="1642"/>
      <c r="S123" s="1642"/>
      <c r="T123" s="1642"/>
    </row>
    <row r="124" spans="1:20" ht="15.75" hidden="1" customHeight="1">
      <c r="A124" s="5687"/>
      <c r="B124" s="2002">
        <v>23</v>
      </c>
      <c r="C124" s="2016">
        <f>((B124+40)*9/5)-40</f>
        <v>73.400000000000006</v>
      </c>
      <c r="D124" s="2006">
        <v>0.80200000000000005</v>
      </c>
      <c r="E124" s="1993"/>
      <c r="F124" s="1993"/>
      <c r="G124" s="1993"/>
      <c r="H124" s="1993"/>
      <c r="I124" s="1620"/>
      <c r="J124" s="1995"/>
      <c r="K124" s="1995"/>
      <c r="L124" s="1621"/>
      <c r="M124" s="1992"/>
      <c r="N124" s="1992"/>
      <c r="O124" s="1994"/>
      <c r="P124" s="1642"/>
      <c r="Q124" s="1642"/>
      <c r="R124" s="1642"/>
      <c r="S124" s="1642"/>
      <c r="T124" s="1642"/>
    </row>
    <row r="125" spans="1:20" ht="15.75" hidden="1" customHeight="1">
      <c r="A125" s="5687"/>
      <c r="B125" s="2002">
        <f>(B124+B126)/2</f>
        <v>23.5</v>
      </c>
      <c r="C125" s="2002">
        <f>(C124+C126)/2</f>
        <v>74.300000000000011</v>
      </c>
      <c r="D125" s="2002">
        <f>(D124+D126)/2</f>
        <v>0.79150000000000009</v>
      </c>
      <c r="E125" s="1993"/>
      <c r="F125" s="1993"/>
      <c r="G125" s="1993"/>
      <c r="H125" s="1993"/>
      <c r="I125" s="1620"/>
      <c r="J125" s="1995"/>
      <c r="K125" s="1995"/>
      <c r="L125" s="1621"/>
      <c r="M125" s="1992"/>
      <c r="N125" s="1992"/>
      <c r="O125" s="1994"/>
      <c r="P125" s="1642"/>
      <c r="Q125" s="1642"/>
      <c r="R125" s="1642"/>
      <c r="S125" s="1642"/>
      <c r="T125" s="1642"/>
    </row>
    <row r="126" spans="1:20" ht="15.75" hidden="1" customHeight="1">
      <c r="A126" s="5687"/>
      <c r="B126" s="2002">
        <v>24</v>
      </c>
      <c r="C126" s="2016">
        <f>((B126+40)*9/5)-40</f>
        <v>75.2</v>
      </c>
      <c r="D126" s="2006">
        <v>0.78100000000000003</v>
      </c>
      <c r="E126" s="1993"/>
      <c r="F126" s="1993"/>
      <c r="G126" s="1993"/>
      <c r="H126" s="1993"/>
      <c r="I126" s="1620"/>
      <c r="J126" s="1995"/>
      <c r="K126" s="1995"/>
      <c r="L126" s="1621"/>
      <c r="M126" s="1994"/>
      <c r="N126" s="1994"/>
      <c r="O126" s="1994"/>
      <c r="P126" s="1642"/>
      <c r="Q126" s="1642"/>
      <c r="R126" s="1642"/>
      <c r="S126" s="1642"/>
      <c r="T126" s="1642"/>
    </row>
    <row r="127" spans="1:20" ht="15.75" hidden="1" customHeight="1">
      <c r="A127" s="5687"/>
      <c r="B127" s="2002">
        <f>(B126+B128)/2</f>
        <v>24.5</v>
      </c>
      <c r="C127" s="2002">
        <f>(C126+C128)/2</f>
        <v>76.099999999999994</v>
      </c>
      <c r="D127" s="2002">
        <f>(D126+D128)/2</f>
        <v>0.77</v>
      </c>
      <c r="E127" s="1993"/>
      <c r="F127" s="1993"/>
      <c r="G127" s="1993"/>
      <c r="H127" s="1993"/>
      <c r="I127" s="1620"/>
      <c r="J127" s="1995"/>
      <c r="K127" s="1995"/>
      <c r="L127" s="1621"/>
      <c r="M127" s="1994"/>
      <c r="N127" s="1994"/>
      <c r="O127" s="1994"/>
      <c r="P127" s="1642"/>
      <c r="Q127" s="1642"/>
      <c r="R127" s="1642"/>
      <c r="S127" s="1642"/>
      <c r="T127" s="1642"/>
    </row>
    <row r="128" spans="1:20" ht="15.75" hidden="1" customHeight="1">
      <c r="A128" s="5687"/>
      <c r="B128" s="2002">
        <v>25</v>
      </c>
      <c r="C128" s="2016">
        <f>((B128+40)*9/5)-40</f>
        <v>77</v>
      </c>
      <c r="D128" s="2006">
        <v>0.75900000000000001</v>
      </c>
      <c r="E128" s="1993"/>
      <c r="F128" s="1993"/>
      <c r="G128" s="1993"/>
      <c r="H128" s="1993"/>
      <c r="I128" s="1620"/>
      <c r="J128" s="1995"/>
      <c r="K128" s="1995"/>
      <c r="L128" s="1621"/>
      <c r="M128" s="1994"/>
      <c r="N128" s="1994"/>
      <c r="O128" s="1994"/>
      <c r="P128" s="1642"/>
      <c r="Q128" s="1642"/>
      <c r="R128" s="1642"/>
      <c r="S128" s="1642"/>
      <c r="T128" s="1642"/>
    </row>
    <row r="129" spans="1:20" ht="15.75" hidden="1" customHeight="1">
      <c r="A129" s="5687"/>
      <c r="B129" s="2002">
        <f>(B128+B130)/2</f>
        <v>25.5</v>
      </c>
      <c r="C129" s="2002">
        <f>(C128+C130)/2</f>
        <v>77.900000000000006</v>
      </c>
      <c r="D129" s="2002">
        <f>(D128+D130)/2</f>
        <v>0.74849999999999994</v>
      </c>
      <c r="E129" s="1993"/>
      <c r="F129" s="1993"/>
      <c r="G129" s="1993"/>
      <c r="H129" s="1993"/>
      <c r="I129" s="1620"/>
      <c r="J129" s="1995"/>
      <c r="K129" s="1995"/>
      <c r="L129" s="1621"/>
      <c r="M129" s="1994"/>
      <c r="N129" s="1994"/>
      <c r="O129" s="1994"/>
      <c r="P129" s="1642"/>
      <c r="Q129" s="1642"/>
      <c r="R129" s="1642"/>
      <c r="S129" s="1642"/>
      <c r="T129" s="1642"/>
    </row>
    <row r="130" spans="1:20" ht="15.75" hidden="1" customHeight="1">
      <c r="A130" s="5687"/>
      <c r="B130" s="2002">
        <v>26</v>
      </c>
      <c r="C130" s="2016">
        <f>((B130+40)*9/5)-40</f>
        <v>78.8</v>
      </c>
      <c r="D130" s="2006">
        <v>0.73799999999999999</v>
      </c>
      <c r="E130" s="1993"/>
      <c r="F130" s="1993"/>
      <c r="G130" s="1993"/>
      <c r="H130" s="1993"/>
      <c r="I130" s="1620"/>
      <c r="J130" s="1995"/>
      <c r="K130" s="1995"/>
      <c r="L130" s="1621"/>
      <c r="M130" s="1994"/>
      <c r="N130" s="1994"/>
      <c r="O130" s="1994"/>
      <c r="P130" s="1642"/>
      <c r="Q130" s="1642"/>
      <c r="R130" s="1642"/>
      <c r="S130" s="1642"/>
      <c r="T130" s="1642"/>
    </row>
    <row r="131" spans="1:20" ht="15.75" hidden="1" customHeight="1">
      <c r="A131" s="5687"/>
      <c r="B131" s="2002">
        <v>27</v>
      </c>
      <c r="C131" s="2016">
        <f>((B131+40)*9/5)-40</f>
        <v>80.599999999999994</v>
      </c>
      <c r="D131" s="2006">
        <v>0.71799999999999997</v>
      </c>
      <c r="E131" s="1993"/>
      <c r="F131" s="1993"/>
      <c r="G131" s="1993"/>
      <c r="H131" s="1993"/>
      <c r="I131" s="1620"/>
      <c r="J131" s="1995"/>
      <c r="K131" s="1995"/>
      <c r="L131" s="1621"/>
      <c r="M131" s="1994"/>
      <c r="N131" s="1994"/>
      <c r="O131" s="1994"/>
      <c r="P131" s="1642"/>
      <c r="Q131" s="1642"/>
      <c r="R131" s="1642"/>
      <c r="S131" s="1642"/>
      <c r="T131" s="1642"/>
    </row>
    <row r="132" spans="1:20" ht="15.75" hidden="1" customHeight="1">
      <c r="A132" s="5687"/>
      <c r="B132" s="2002">
        <v>28</v>
      </c>
      <c r="C132" s="2016">
        <f>((B132+40)*9/5)-40</f>
        <v>82.4</v>
      </c>
      <c r="D132" s="2006">
        <v>0.69899999999999995</v>
      </c>
      <c r="E132" s="1993"/>
      <c r="F132" s="1993"/>
      <c r="G132" s="1993"/>
      <c r="H132" s="1993"/>
      <c r="I132" s="1620"/>
      <c r="J132" s="1995"/>
      <c r="K132" s="1995"/>
      <c r="L132" s="1621"/>
      <c r="M132" s="1994"/>
      <c r="N132" s="1994"/>
      <c r="O132" s="1994"/>
      <c r="P132" s="1642"/>
      <c r="Q132" s="1642"/>
      <c r="R132" s="1642"/>
      <c r="S132" s="1642"/>
      <c r="T132" s="1642"/>
    </row>
    <row r="133" spans="1:20" ht="15.75" hidden="1" customHeight="1">
      <c r="A133" s="5687"/>
      <c r="B133" s="2002">
        <v>29</v>
      </c>
      <c r="C133" s="2016">
        <f>((B133+40)*9/5)-40</f>
        <v>84.2</v>
      </c>
      <c r="D133" s="2005">
        <v>0.68200000000000005</v>
      </c>
      <c r="E133" s="1993"/>
      <c r="F133" s="1993"/>
      <c r="G133" s="1993"/>
      <c r="H133" s="1993"/>
      <c r="I133" s="1620"/>
      <c r="J133" s="1995"/>
      <c r="K133" s="1995"/>
      <c r="L133" s="1621"/>
      <c r="M133" s="1994"/>
      <c r="N133" s="1994"/>
      <c r="O133" s="1994"/>
      <c r="P133" s="1642"/>
      <c r="Q133" s="1642"/>
      <c r="R133" s="1642"/>
      <c r="S133" s="1642"/>
      <c r="T133" s="1642"/>
    </row>
    <row r="134" spans="1:20" ht="15.75" hidden="1" customHeight="1">
      <c r="A134" s="5687"/>
      <c r="B134" s="2003">
        <v>30</v>
      </c>
      <c r="C134" s="2017">
        <f>((B134+40)*9/5)-40</f>
        <v>86</v>
      </c>
      <c r="D134" s="2007">
        <v>0.66500000000000004</v>
      </c>
      <c r="E134" s="1993"/>
      <c r="F134" s="1993"/>
      <c r="G134" s="1993"/>
      <c r="H134" s="1993"/>
      <c r="I134" s="1993"/>
      <c r="J134" s="1993"/>
      <c r="K134" s="1993"/>
      <c r="L134" s="1993"/>
      <c r="M134" s="1993"/>
      <c r="N134" s="1993"/>
      <c r="O134" s="1993"/>
      <c r="P134" s="1642"/>
      <c r="Q134" s="1642"/>
      <c r="R134" s="1642"/>
      <c r="S134" s="1642"/>
      <c r="T134" s="1642"/>
    </row>
  </sheetData>
  <sheetProtection password="FA80" sheet="1" objects="1" scenarios="1"/>
  <mergeCells count="115">
    <mergeCell ref="A1:B1"/>
    <mergeCell ref="F1:O1"/>
    <mergeCell ref="Q2:S2"/>
    <mergeCell ref="A3:I3"/>
    <mergeCell ref="J3:N3"/>
    <mergeCell ref="O3:P3"/>
    <mergeCell ref="Q3:S3"/>
    <mergeCell ref="J11:L11"/>
    <mergeCell ref="C12:D12"/>
    <mergeCell ref="J12:L12"/>
    <mergeCell ref="M8:N8"/>
    <mergeCell ref="J9:L9"/>
    <mergeCell ref="A4:I4"/>
    <mergeCell ref="P5:S5"/>
    <mergeCell ref="B6:E6"/>
    <mergeCell ref="K6:M6"/>
    <mergeCell ref="P6:P7"/>
    <mergeCell ref="Q6:R6"/>
    <mergeCell ref="D7:E7"/>
    <mergeCell ref="F7:G7"/>
    <mergeCell ref="J13:L13"/>
    <mergeCell ref="B14:F14"/>
    <mergeCell ref="J14:L14"/>
    <mergeCell ref="E8:F9"/>
    <mergeCell ref="G8:H9"/>
    <mergeCell ref="J8:L8"/>
    <mergeCell ref="J10:L10"/>
    <mergeCell ref="K19:M19"/>
    <mergeCell ref="C20:D20"/>
    <mergeCell ref="K20:M20"/>
    <mergeCell ref="C21:D21"/>
    <mergeCell ref="K21:M21"/>
    <mergeCell ref="K31:M31"/>
    <mergeCell ref="K32:M32"/>
    <mergeCell ref="K22:M22"/>
    <mergeCell ref="D15:E15"/>
    <mergeCell ref="F15:G15"/>
    <mergeCell ref="J15:L15"/>
    <mergeCell ref="E16:F17"/>
    <mergeCell ref="G16:H17"/>
    <mergeCell ref="J16:L16"/>
    <mergeCell ref="B23:F23"/>
    <mergeCell ref="K23:M23"/>
    <mergeCell ref="K27:M27"/>
    <mergeCell ref="K28:M28"/>
    <mergeCell ref="C29:D29"/>
    <mergeCell ref="K29:M29"/>
    <mergeCell ref="C30:D30"/>
    <mergeCell ref="K30:M30"/>
    <mergeCell ref="D24:E24"/>
    <mergeCell ref="F24:G24"/>
    <mergeCell ref="K24:M24"/>
    <mergeCell ref="E25:F26"/>
    <mergeCell ref="G25:H26"/>
    <mergeCell ref="K25:M25"/>
    <mergeCell ref="K26:M26"/>
    <mergeCell ref="K35:M35"/>
    <mergeCell ref="K36:M36"/>
    <mergeCell ref="B37:D37"/>
    <mergeCell ref="F37:H37"/>
    <mergeCell ref="K37:M37"/>
    <mergeCell ref="K38:M38"/>
    <mergeCell ref="A33:C33"/>
    <mergeCell ref="K33:M33"/>
    <mergeCell ref="D34:F34"/>
    <mergeCell ref="H34:I34"/>
    <mergeCell ref="K34:M34"/>
    <mergeCell ref="A47:B47"/>
    <mergeCell ref="D47:E47"/>
    <mergeCell ref="F47:I47"/>
    <mergeCell ref="K47:N51"/>
    <mergeCell ref="F48:I48"/>
    <mergeCell ref="D49:E49"/>
    <mergeCell ref="F49:I49"/>
    <mergeCell ref="B48:E48"/>
    <mergeCell ref="K39:M39"/>
    <mergeCell ref="K40:N40"/>
    <mergeCell ref="B41:D41"/>
    <mergeCell ref="K41:N44"/>
    <mergeCell ref="K45:N46"/>
    <mergeCell ref="A46:C46"/>
    <mergeCell ref="C58:D58"/>
    <mergeCell ref="G58:H58"/>
    <mergeCell ref="A61:F61"/>
    <mergeCell ref="E62:G62"/>
    <mergeCell ref="A67:B67"/>
    <mergeCell ref="P68:R68"/>
    <mergeCell ref="F50:J50"/>
    <mergeCell ref="B53:C53"/>
    <mergeCell ref="K53:K54"/>
    <mergeCell ref="L53:M53"/>
    <mergeCell ref="A56:D56"/>
    <mergeCell ref="C57:D57"/>
    <mergeCell ref="B50:E50"/>
    <mergeCell ref="P87:Q87"/>
    <mergeCell ref="R87:S87"/>
    <mergeCell ref="A89:A134"/>
    <mergeCell ref="B89:C89"/>
    <mergeCell ref="P67:S67"/>
    <mergeCell ref="B79:H79"/>
    <mergeCell ref="I79:J79"/>
    <mergeCell ref="B80:H80"/>
    <mergeCell ref="B81:H81"/>
    <mergeCell ref="I81:J81"/>
    <mergeCell ref="B68:I70"/>
    <mergeCell ref="N69:P70"/>
    <mergeCell ref="N71:S85"/>
    <mergeCell ref="I72:J72"/>
    <mergeCell ref="B73:I73"/>
    <mergeCell ref="B74:H74"/>
    <mergeCell ref="G75:H75"/>
    <mergeCell ref="B76:H76"/>
    <mergeCell ref="G77:H77"/>
    <mergeCell ref="A78:E78"/>
    <mergeCell ref="A87:H87"/>
  </mergeCells>
  <conditionalFormatting sqref="D11">
    <cfRule type="cellIs" dxfId="2" priority="3" stopIfTrue="1" operator="greaterThan">
      <formula>30</formula>
    </cfRule>
  </conditionalFormatting>
  <conditionalFormatting sqref="C28 C19 C11">
    <cfRule type="cellIs" dxfId="1" priority="2" stopIfTrue="1" operator="greaterThan">
      <formula>4</formula>
    </cfRule>
  </conditionalFormatting>
  <conditionalFormatting sqref="D28 D19">
    <cfRule type="cellIs" dxfId="0" priority="1" stopIfTrue="1" operator="greaterThan">
      <formula>86</formula>
    </cfRule>
  </conditionalFormatting>
  <hyperlinks>
    <hyperlink ref="Q2" r:id="rId1"/>
    <hyperlink ref="A47" location="Extract!AQ20" display="Extract!AQ20"/>
    <hyperlink ref="A47:B47" location="Primer!D53" display="Primer!D53"/>
    <hyperlink ref="G49" location="'Beer Data Sheet'!P20" display="=&quot;1 level 5ml tsp sugar = &quot;&amp;'Beer Data Sheet'!P20&amp;&quot;g&quot;"/>
    <hyperlink ref="H49" location="'Beer Data Sheet'!P20" display="=&quot;1 level 5ml tsp sugar = &quot;&amp;'Beer Data Sheet'!P20&amp;&quot;g&quot;"/>
    <hyperlink ref="R87" r:id="rId2"/>
  </hyperlinks>
  <printOptions horizontalCentered="1"/>
  <pageMargins left="0.31496062992125984" right="0.31496062992125984" top="0.31496062992125984" bottom="0.55118110236220474" header="0.31496062992125984" footer="0.51181102362204722"/>
  <pageSetup paperSize="9" scale="44" orientation="portrait" horizontalDpi="4294967293" verticalDpi="300" r:id="rId3"/>
  <drawing r:id="rId4"/>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Index</vt:lpstr>
      <vt:lpstr>General Calc's</vt:lpstr>
      <vt:lpstr>Beer Kit</vt:lpstr>
      <vt:lpstr>Extract</vt:lpstr>
      <vt:lpstr>Beer</vt:lpstr>
      <vt:lpstr>Beer Scaling</vt:lpstr>
      <vt:lpstr>Beer Data Sheet</vt:lpstr>
      <vt:lpstr>Gluten-Free</vt:lpstr>
      <vt:lpstr>Primer</vt:lpstr>
      <vt:lpstr>Water</vt:lpstr>
      <vt:lpstr>BJCP</vt:lpstr>
      <vt:lpstr>Extract!_Toc185863040</vt:lpstr>
      <vt:lpstr>Beer!Print_Area</vt:lpstr>
      <vt:lpstr>'Beer Data Sheet'!Print_Area</vt:lpstr>
      <vt:lpstr>'Beer Kit'!Print_Area</vt:lpstr>
      <vt:lpstr>'Beer Scaling'!Print_Area</vt:lpstr>
      <vt:lpstr>BJCP!Print_Area</vt:lpstr>
      <vt:lpstr>Extract!Print_Area</vt:lpstr>
      <vt:lpstr>'General Calc''s'!Print_Area</vt:lpstr>
      <vt:lpstr>'Gluten-Free'!Print_Area</vt:lpstr>
      <vt:lpstr>Index!Print_Area</vt:lpstr>
      <vt:lpstr>Primer!Print_Area</vt:lpstr>
      <vt:lpstr>Water!Print_Area</vt:lpstr>
    </vt:vector>
  </TitlesOfParts>
  <Company>Grizli777</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Laycock</dc:creator>
  <cp:lastModifiedBy>Peter Laycock</cp:lastModifiedBy>
  <cp:lastPrinted>2020-12-08T19:59:52Z</cp:lastPrinted>
  <dcterms:created xsi:type="dcterms:W3CDTF">2020-04-10T12:52:10Z</dcterms:created>
  <dcterms:modified xsi:type="dcterms:W3CDTF">2020-12-17T20:38:18Z</dcterms:modified>
</cp:coreProperties>
</file>